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главные док Сухова\Отчет о деятельности до25фев. Размещение на сайтах social.saratov.gov.ru, busgov\2024\"/>
    </mc:Choice>
  </mc:AlternateContent>
  <xr:revisionPtr revIDLastSave="0" documentId="13_ncr:2001_{BC8D14D1-3BDF-4CA6-B3E9-289A683CFAB2}" xr6:coauthVersionLast="47" xr6:coauthVersionMax="47" xr10:uidLastSave="{00000000-0000-0000-0000-000000000000}"/>
  <bookViews>
    <workbookView xWindow="-120" yWindow="-120" windowWidth="19440" windowHeight="14040" firstSheet="6" activeTab="9" xr2:uid="{00000000-000D-0000-FFFF-FFFF00000000}"/>
  </bookViews>
  <sheets>
    <sheet name="Тит 01.01.25" sheetId="31" r:id="rId1"/>
    <sheet name="1 (раздел 1)" sheetId="3" r:id="rId2"/>
    <sheet name="1 (раздел 2)" sheetId="4" r:id="rId3"/>
    <sheet name="1.1" sheetId="5" r:id="rId4"/>
    <sheet name="1.2" sheetId="6" r:id="rId5"/>
    <sheet name="1.2.1" sheetId="7" r:id="rId6"/>
    <sheet name="1.3" sheetId="8" r:id="rId7"/>
    <sheet name="1.4" sheetId="9" r:id="rId8"/>
    <sheet name="1.5 (1)" sheetId="10" r:id="rId9"/>
    <sheet name="1.5 (2)" sheetId="11" r:id="rId10"/>
    <sheet name="1.5 (3)" sheetId="12" r:id="rId11"/>
    <sheet name="1.5 (4)" sheetId="13" r:id="rId12"/>
    <sheet name="1.6" sheetId="14" r:id="rId13"/>
    <sheet name="2.1" sheetId="15" r:id="rId14"/>
    <sheet name="2.2" sheetId="16" r:id="rId15"/>
    <sheet name="2.3 (1)" sheetId="17" r:id="rId16"/>
    <sheet name="2.3 (2)" sheetId="18" r:id="rId17"/>
    <sheet name="2.4" sheetId="19" r:id="rId18"/>
    <sheet name="2.5 (1)" sheetId="20" r:id="rId19"/>
    <sheet name="2.5 (2)" sheetId="21" r:id="rId20"/>
    <sheet name="2.5 (3)" sheetId="22" r:id="rId21"/>
    <sheet name="2.5 (4)" sheetId="23" r:id="rId22"/>
    <sheet name="2.6 (1)" sheetId="24" r:id="rId23"/>
    <sheet name="2.6 (2)" sheetId="25" r:id="rId24"/>
    <sheet name="2.6 (3)" sheetId="26" r:id="rId25"/>
    <sheet name="2.6 (4)" sheetId="27" r:id="rId26"/>
    <sheet name="2.7" sheetId="28" r:id="rId27"/>
    <sheet name="3.1" sheetId="29" r:id="rId28"/>
    <sheet name="3.2" sheetId="30" r:id="rId29"/>
  </sheets>
  <definedNames>
    <definedName name="_xlnm.Print_Area" localSheetId="3">'1.1'!$A$1:$K$56</definedName>
  </definedNames>
  <calcPr calcId="181029" refMode="R1C1"/>
  <fileRecoveryPr repairLoad="1"/>
</workbook>
</file>

<file path=xl/calcChain.xml><?xml version="1.0" encoding="utf-8"?>
<calcChain xmlns="http://schemas.openxmlformats.org/spreadsheetml/2006/main">
  <c r="L21" i="11" l="1"/>
  <c r="E21" i="11"/>
  <c r="D13" i="11" l="1"/>
  <c r="D14" i="11"/>
  <c r="C18" i="11"/>
  <c r="C16" i="11"/>
  <c r="C13" i="11"/>
  <c r="E9" i="11"/>
  <c r="D9" i="11"/>
  <c r="E12" i="11"/>
  <c r="E13" i="11"/>
  <c r="E14" i="11"/>
  <c r="E15" i="11"/>
  <c r="E11" i="11"/>
  <c r="E18" i="11"/>
  <c r="E16" i="11"/>
  <c r="D16" i="11"/>
  <c r="D12" i="11"/>
  <c r="D15" i="11"/>
  <c r="D11" i="11"/>
  <c r="K18" i="11"/>
  <c r="E6" i="4" l="1"/>
  <c r="O33" i="4"/>
  <c r="C33" i="4"/>
  <c r="K16" i="11"/>
  <c r="I15" i="12"/>
  <c r="I17" i="12"/>
  <c r="C15" i="12"/>
  <c r="C17" i="12"/>
  <c r="L18" i="11"/>
  <c r="K14" i="11"/>
  <c r="K13" i="11"/>
  <c r="K9" i="11"/>
  <c r="C9" i="11"/>
  <c r="D18" i="11"/>
  <c r="P16" i="11"/>
  <c r="C22" i="11" l="1"/>
  <c r="G16" i="11"/>
  <c r="G18" i="11"/>
  <c r="H16" i="11"/>
  <c r="H18" i="11"/>
  <c r="L16" i="11"/>
  <c r="L22" i="11"/>
  <c r="H31" i="10" l="1"/>
  <c r="I25" i="10"/>
  <c r="H25" i="10"/>
  <c r="O19" i="4"/>
  <c r="C20" i="4"/>
  <c r="C19" i="4"/>
  <c r="C49" i="3"/>
  <c r="C28" i="3"/>
  <c r="C26" i="3"/>
  <c r="O15" i="4"/>
  <c r="C15" i="4"/>
  <c r="G27" i="10"/>
  <c r="G25" i="10"/>
  <c r="E25" i="10"/>
  <c r="D21" i="11"/>
  <c r="C19" i="11"/>
  <c r="H22" i="11"/>
  <c r="C6" i="4"/>
  <c r="C7" i="4"/>
  <c r="D7" i="27"/>
  <c r="C7" i="27"/>
  <c r="E23" i="23"/>
  <c r="E13" i="23"/>
  <c r="E12" i="23"/>
  <c r="E11" i="23"/>
  <c r="O49" i="27"/>
  <c r="N49" i="27"/>
  <c r="M49" i="27"/>
  <c r="L49" i="27"/>
  <c r="K49" i="27"/>
  <c r="J49" i="27"/>
  <c r="I49" i="27"/>
  <c r="H49" i="27"/>
  <c r="G49" i="27"/>
  <c r="F49" i="27"/>
  <c r="E49" i="27"/>
  <c r="D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49" i="27"/>
  <c r="Z50" i="26"/>
  <c r="Y50" i="26"/>
  <c r="X50" i="26"/>
  <c r="W50" i="26"/>
  <c r="V50" i="26"/>
  <c r="U50" i="26"/>
  <c r="R50" i="26"/>
  <c r="Q50" i="26"/>
  <c r="P50" i="26"/>
  <c r="O50" i="26"/>
  <c r="N50" i="26"/>
  <c r="M50" i="26"/>
  <c r="J50" i="26"/>
  <c r="I50" i="26"/>
  <c r="H50" i="26"/>
  <c r="G50" i="26"/>
  <c r="F50" i="26"/>
  <c r="E50" i="26"/>
  <c r="T49" i="26"/>
  <c r="S49" i="26"/>
  <c r="L49" i="26"/>
  <c r="K49" i="26"/>
  <c r="D49" i="26"/>
  <c r="C49" i="26"/>
  <c r="T48" i="26"/>
  <c r="S48" i="26"/>
  <c r="L48" i="26"/>
  <c r="K48" i="26"/>
  <c r="D48" i="26"/>
  <c r="C48" i="26"/>
  <c r="T47" i="26"/>
  <c r="S47" i="26"/>
  <c r="L47" i="26"/>
  <c r="K47" i="26"/>
  <c r="D47" i="26"/>
  <c r="C47" i="26"/>
  <c r="T46" i="26"/>
  <c r="S46" i="26"/>
  <c r="L46" i="26"/>
  <c r="K46" i="26"/>
  <c r="D46" i="26"/>
  <c r="C46" i="26"/>
  <c r="T45" i="26"/>
  <c r="S45" i="26"/>
  <c r="L45" i="26"/>
  <c r="K45" i="26"/>
  <c r="D45" i="26"/>
  <c r="C45" i="26"/>
  <c r="T44" i="26"/>
  <c r="S44" i="26"/>
  <c r="L44" i="26"/>
  <c r="K44" i="26"/>
  <c r="D44" i="26"/>
  <c r="C44" i="26"/>
  <c r="T43" i="26"/>
  <c r="S43" i="26"/>
  <c r="L43" i="26"/>
  <c r="K43" i="26"/>
  <c r="D43" i="26"/>
  <c r="C43" i="26"/>
  <c r="T42" i="26"/>
  <c r="S42" i="26"/>
  <c r="L42" i="26"/>
  <c r="K42" i="26"/>
  <c r="D42" i="26"/>
  <c r="C42" i="26"/>
  <c r="T41" i="26"/>
  <c r="S41" i="26"/>
  <c r="L41" i="26"/>
  <c r="K41" i="26"/>
  <c r="D41" i="26"/>
  <c r="C41" i="26"/>
  <c r="T40" i="26"/>
  <c r="S40" i="26"/>
  <c r="L40" i="26"/>
  <c r="K40" i="26"/>
  <c r="D40" i="26"/>
  <c r="C40" i="26"/>
  <c r="T39" i="26"/>
  <c r="S39" i="26"/>
  <c r="L39" i="26"/>
  <c r="K39" i="26"/>
  <c r="D39" i="26"/>
  <c r="C39" i="26"/>
  <c r="T38" i="26"/>
  <c r="S38" i="26"/>
  <c r="L38" i="26"/>
  <c r="K38" i="26"/>
  <c r="D38" i="26"/>
  <c r="C38" i="26"/>
  <c r="T37" i="26"/>
  <c r="S37" i="26"/>
  <c r="L37" i="26"/>
  <c r="K37" i="26"/>
  <c r="D37" i="26"/>
  <c r="C37" i="26"/>
  <c r="T36" i="26"/>
  <c r="S36" i="26"/>
  <c r="L36" i="26"/>
  <c r="K36" i="26"/>
  <c r="D36" i="26"/>
  <c r="C36" i="26"/>
  <c r="T35" i="26"/>
  <c r="S35" i="26"/>
  <c r="L35" i="26"/>
  <c r="K35" i="26"/>
  <c r="D35" i="26"/>
  <c r="C35" i="26"/>
  <c r="T34" i="26"/>
  <c r="S34" i="26"/>
  <c r="L34" i="26"/>
  <c r="K34" i="26"/>
  <c r="D34" i="26"/>
  <c r="C34" i="26"/>
  <c r="T33" i="26"/>
  <c r="S33" i="26"/>
  <c r="L33" i="26"/>
  <c r="K33" i="26"/>
  <c r="D33" i="26"/>
  <c r="C33" i="26"/>
  <c r="T32" i="26"/>
  <c r="S32" i="26"/>
  <c r="L32" i="26"/>
  <c r="K32" i="26"/>
  <c r="D32" i="26"/>
  <c r="C32" i="26"/>
  <c r="T31" i="26"/>
  <c r="S31" i="26"/>
  <c r="L31" i="26"/>
  <c r="K31" i="26"/>
  <c r="D31" i="26"/>
  <c r="C31" i="26"/>
  <c r="T30" i="26"/>
  <c r="S30" i="26"/>
  <c r="L30" i="26"/>
  <c r="K30" i="26"/>
  <c r="D30" i="26"/>
  <c r="C30" i="26"/>
  <c r="T29" i="26"/>
  <c r="S29" i="26"/>
  <c r="L29" i="26"/>
  <c r="K29" i="26"/>
  <c r="D29" i="26"/>
  <c r="C29" i="26"/>
  <c r="T28" i="26"/>
  <c r="S28" i="26"/>
  <c r="L28" i="26"/>
  <c r="K28" i="26"/>
  <c r="D28" i="26"/>
  <c r="C28" i="26"/>
  <c r="T27" i="26"/>
  <c r="S27" i="26"/>
  <c r="L27" i="26"/>
  <c r="K27" i="26"/>
  <c r="D27" i="26"/>
  <c r="C27" i="26"/>
  <c r="T26" i="26"/>
  <c r="S26" i="26"/>
  <c r="L26" i="26"/>
  <c r="K26" i="26"/>
  <c r="D26" i="26"/>
  <c r="C26" i="26"/>
  <c r="T25" i="26"/>
  <c r="S25" i="26"/>
  <c r="L25" i="26"/>
  <c r="K25" i="26"/>
  <c r="D25" i="26"/>
  <c r="C25" i="26"/>
  <c r="T24" i="26"/>
  <c r="S24" i="26"/>
  <c r="L24" i="26"/>
  <c r="K24" i="26"/>
  <c r="D24" i="26"/>
  <c r="C24" i="26"/>
  <c r="T23" i="26"/>
  <c r="S23" i="26"/>
  <c r="L23" i="26"/>
  <c r="K23" i="26"/>
  <c r="D23" i="26"/>
  <c r="C23" i="26"/>
  <c r="T22" i="26"/>
  <c r="S22" i="26"/>
  <c r="L22" i="26"/>
  <c r="K22" i="26"/>
  <c r="D22" i="26"/>
  <c r="C22" i="26"/>
  <c r="T21" i="26"/>
  <c r="S21" i="26"/>
  <c r="L21" i="26"/>
  <c r="K21" i="26"/>
  <c r="D21" i="26"/>
  <c r="C21" i="26"/>
  <c r="T20" i="26"/>
  <c r="S20" i="26"/>
  <c r="L20" i="26"/>
  <c r="K20" i="26"/>
  <c r="D20" i="26"/>
  <c r="C20" i="26"/>
  <c r="T19" i="26"/>
  <c r="S19" i="26"/>
  <c r="L19" i="26"/>
  <c r="K19" i="26"/>
  <c r="D19" i="26"/>
  <c r="C19" i="26"/>
  <c r="T18" i="26"/>
  <c r="S18" i="26"/>
  <c r="L18" i="26"/>
  <c r="K18" i="26"/>
  <c r="D18" i="26"/>
  <c r="C18" i="26"/>
  <c r="T17" i="26"/>
  <c r="S17" i="26"/>
  <c r="L17" i="26"/>
  <c r="K17" i="26"/>
  <c r="D17" i="26"/>
  <c r="C17" i="26"/>
  <c r="T16" i="26"/>
  <c r="S16" i="26"/>
  <c r="L16" i="26"/>
  <c r="K16" i="26"/>
  <c r="D16" i="26"/>
  <c r="C16" i="26"/>
  <c r="T15" i="26"/>
  <c r="S15" i="26"/>
  <c r="L15" i="26"/>
  <c r="K15" i="26"/>
  <c r="D15" i="26"/>
  <c r="C15" i="26"/>
  <c r="T14" i="26"/>
  <c r="S14" i="26"/>
  <c r="L14" i="26"/>
  <c r="K14" i="26"/>
  <c r="D14" i="26"/>
  <c r="C14" i="26"/>
  <c r="T13" i="26"/>
  <c r="S13" i="26"/>
  <c r="L13" i="26"/>
  <c r="K13" i="26"/>
  <c r="D13" i="26"/>
  <c r="C13" i="26"/>
  <c r="T12" i="26"/>
  <c r="S12" i="26"/>
  <c r="L12" i="26"/>
  <c r="K12" i="26"/>
  <c r="D12" i="26"/>
  <c r="C12" i="26"/>
  <c r="T11" i="26"/>
  <c r="S11" i="26"/>
  <c r="L11" i="26"/>
  <c r="K11" i="26"/>
  <c r="D11" i="26"/>
  <c r="C11" i="26"/>
  <c r="T10" i="26"/>
  <c r="S10" i="26"/>
  <c r="L10" i="26"/>
  <c r="K10" i="26"/>
  <c r="D10" i="26"/>
  <c r="C10" i="26"/>
  <c r="T9" i="26"/>
  <c r="S9" i="26"/>
  <c r="L9" i="26"/>
  <c r="K9" i="26"/>
  <c r="D9" i="26"/>
  <c r="C9" i="26"/>
  <c r="T8" i="26"/>
  <c r="T50" i="26" s="1"/>
  <c r="S8" i="26"/>
  <c r="S50" i="26" s="1"/>
  <c r="L8" i="26"/>
  <c r="L50" i="26" s="1"/>
  <c r="K8" i="26"/>
  <c r="K50" i="26" s="1"/>
  <c r="D8" i="26"/>
  <c r="D50" i="26" s="1"/>
  <c r="C8" i="26"/>
  <c r="C50" i="26" s="1"/>
  <c r="K48" i="25"/>
  <c r="J48" i="25"/>
  <c r="I48" i="25"/>
  <c r="H48" i="25"/>
  <c r="F48" i="25"/>
  <c r="E48" i="25"/>
  <c r="D48" i="25"/>
  <c r="G47" i="25"/>
  <c r="C47" i="25"/>
  <c r="G46" i="25"/>
  <c r="C46" i="25"/>
  <c r="G45" i="25"/>
  <c r="C45" i="25"/>
  <c r="G44" i="25"/>
  <c r="C44" i="25"/>
  <c r="G43" i="25"/>
  <c r="C43" i="25"/>
  <c r="G42" i="25"/>
  <c r="C42" i="25"/>
  <c r="G41" i="25"/>
  <c r="C41" i="25"/>
  <c r="G40" i="25"/>
  <c r="C40" i="25"/>
  <c r="G39" i="25"/>
  <c r="C39" i="25"/>
  <c r="G38" i="25"/>
  <c r="C38" i="25"/>
  <c r="G37" i="25"/>
  <c r="C37" i="25"/>
  <c r="G36" i="25"/>
  <c r="C36" i="25"/>
  <c r="G35" i="25"/>
  <c r="C35" i="25"/>
  <c r="G34" i="25"/>
  <c r="C34" i="25"/>
  <c r="G33" i="25"/>
  <c r="C33" i="25"/>
  <c r="G32" i="25"/>
  <c r="C32" i="25"/>
  <c r="G31" i="25"/>
  <c r="C31" i="25"/>
  <c r="G30" i="25"/>
  <c r="C30" i="25"/>
  <c r="G29" i="25"/>
  <c r="C29" i="25"/>
  <c r="G28" i="25"/>
  <c r="C28" i="25"/>
  <c r="G27" i="25"/>
  <c r="C27" i="25"/>
  <c r="G26" i="25"/>
  <c r="C26" i="25"/>
  <c r="G25" i="25"/>
  <c r="C25" i="25"/>
  <c r="G24" i="25"/>
  <c r="C24" i="25"/>
  <c r="G23" i="25"/>
  <c r="C23" i="25"/>
  <c r="G22" i="25"/>
  <c r="C22" i="25"/>
  <c r="G21" i="25"/>
  <c r="C21" i="25"/>
  <c r="G20" i="25"/>
  <c r="C20" i="25"/>
  <c r="G19" i="25"/>
  <c r="C19" i="25"/>
  <c r="G18" i="25"/>
  <c r="C18" i="25"/>
  <c r="G17" i="25"/>
  <c r="C17" i="25"/>
  <c r="G16" i="25"/>
  <c r="C16" i="25"/>
  <c r="G15" i="25"/>
  <c r="C15" i="25"/>
  <c r="G14" i="25"/>
  <c r="C14" i="25"/>
  <c r="G13" i="25"/>
  <c r="C13" i="25"/>
  <c r="G12" i="25"/>
  <c r="C12" i="25"/>
  <c r="G11" i="25"/>
  <c r="C11" i="25"/>
  <c r="G10" i="25"/>
  <c r="C10" i="25"/>
  <c r="G9" i="25"/>
  <c r="C9" i="25"/>
  <c r="G8" i="25"/>
  <c r="C8" i="25"/>
  <c r="G7" i="25"/>
  <c r="C7" i="25"/>
  <c r="G6" i="25"/>
  <c r="G48" i="25" s="1"/>
  <c r="C6" i="25"/>
  <c r="C48" i="25" s="1"/>
  <c r="J58" i="24"/>
  <c r="I58" i="24"/>
  <c r="H58" i="24"/>
  <c r="G58" i="24"/>
  <c r="F58" i="24"/>
  <c r="E58" i="24"/>
  <c r="D57" i="24"/>
  <c r="C57" i="24"/>
  <c r="D56" i="24"/>
  <c r="C56" i="24"/>
  <c r="D55" i="24"/>
  <c r="C55" i="24"/>
  <c r="D54" i="24"/>
  <c r="C54" i="24"/>
  <c r="D53" i="24"/>
  <c r="C53" i="24"/>
  <c r="D52" i="24"/>
  <c r="C52" i="24"/>
  <c r="D51" i="24"/>
  <c r="C51" i="24"/>
  <c r="D50" i="24"/>
  <c r="C50" i="24"/>
  <c r="D49" i="24"/>
  <c r="C49" i="24"/>
  <c r="D48" i="24"/>
  <c r="C48" i="24"/>
  <c r="D47" i="24"/>
  <c r="C47" i="24"/>
  <c r="D46" i="24"/>
  <c r="C46" i="24"/>
  <c r="D45" i="24"/>
  <c r="C45" i="24"/>
  <c r="D44" i="24"/>
  <c r="C44" i="24"/>
  <c r="D43" i="24"/>
  <c r="C43" i="24"/>
  <c r="D42" i="24"/>
  <c r="C42" i="24"/>
  <c r="D41" i="24"/>
  <c r="C41" i="24"/>
  <c r="D40" i="24"/>
  <c r="C40" i="24"/>
  <c r="D39" i="24"/>
  <c r="C39" i="24"/>
  <c r="D38" i="24"/>
  <c r="C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D20" i="24"/>
  <c r="C20" i="24"/>
  <c r="D19" i="24"/>
  <c r="C19" i="24"/>
  <c r="D18" i="24"/>
  <c r="C18" i="24"/>
  <c r="D17" i="24"/>
  <c r="C17" i="24"/>
  <c r="D16" i="24"/>
  <c r="D58" i="24" s="1"/>
  <c r="C16" i="24"/>
  <c r="C58" i="24" s="1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E34" i="20"/>
  <c r="C34" i="20"/>
  <c r="E33" i="20"/>
  <c r="C33" i="20"/>
  <c r="E32" i="20"/>
  <c r="C32" i="20"/>
  <c r="E31" i="20"/>
  <c r="C31" i="20"/>
  <c r="E30" i="20"/>
  <c r="C30" i="20"/>
  <c r="E29" i="20"/>
  <c r="C29" i="20"/>
  <c r="E28" i="20"/>
  <c r="C28" i="20"/>
  <c r="E27" i="20"/>
  <c r="C27" i="20"/>
  <c r="E26" i="20"/>
  <c r="C26" i="20"/>
  <c r="E25" i="20"/>
  <c r="C25" i="20"/>
  <c r="E24" i="20"/>
  <c r="C24" i="20"/>
  <c r="E23" i="20"/>
  <c r="C23" i="20"/>
  <c r="E22" i="20"/>
  <c r="C22" i="20"/>
  <c r="E21" i="20"/>
  <c r="C21" i="20"/>
  <c r="E20" i="20"/>
  <c r="C20" i="20"/>
  <c r="E19" i="20"/>
  <c r="C19" i="20"/>
  <c r="E18" i="20"/>
  <c r="C18" i="20"/>
  <c r="V18" i="16"/>
  <c r="U18" i="16"/>
  <c r="T18" i="16"/>
  <c r="R18" i="16"/>
  <c r="Q18" i="16"/>
  <c r="P18" i="16"/>
  <c r="O18" i="16"/>
  <c r="M18" i="16"/>
  <c r="L18" i="16"/>
  <c r="K18" i="16"/>
  <c r="J18" i="16"/>
  <c r="S17" i="16"/>
  <c r="S18" i="16" s="1"/>
  <c r="N17" i="16"/>
  <c r="N18" i="16" s="1"/>
  <c r="I17" i="16"/>
  <c r="I18" i="16" s="1"/>
  <c r="H17" i="16"/>
  <c r="H18" i="16" s="1"/>
  <c r="AE22" i="15"/>
  <c r="AD22" i="15"/>
  <c r="AC22" i="15"/>
  <c r="AB22" i="15"/>
  <c r="Z22" i="15"/>
  <c r="Y22" i="15"/>
  <c r="X22" i="15"/>
  <c r="W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V21" i="15"/>
  <c r="V20" i="15"/>
  <c r="V18" i="15"/>
  <c r="V22" i="15" s="1"/>
  <c r="N21" i="13"/>
  <c r="M21" i="13"/>
  <c r="L21" i="13"/>
  <c r="K21" i="13"/>
  <c r="J21" i="13"/>
  <c r="I21" i="13"/>
  <c r="H21" i="13"/>
  <c r="G21" i="13"/>
  <c r="F21" i="13"/>
  <c r="E21" i="13"/>
  <c r="D21" i="13"/>
  <c r="C21" i="13"/>
  <c r="N21" i="12"/>
  <c r="M21" i="12"/>
  <c r="L21" i="12"/>
  <c r="K21" i="12"/>
  <c r="J21" i="12"/>
  <c r="I21" i="12"/>
  <c r="H21" i="12"/>
  <c r="G21" i="12"/>
  <c r="F21" i="12"/>
  <c r="E21" i="12"/>
  <c r="D21" i="12"/>
  <c r="C21" i="12"/>
  <c r="O22" i="11"/>
  <c r="N22" i="11"/>
  <c r="M22" i="11"/>
  <c r="J22" i="11"/>
  <c r="I22" i="11"/>
  <c r="G22" i="11"/>
  <c r="F22" i="11"/>
  <c r="C21" i="11"/>
  <c r="C15" i="11"/>
  <c r="C14" i="11"/>
  <c r="C12" i="11"/>
  <c r="C11" i="11"/>
  <c r="Q31" i="10"/>
  <c r="P31" i="10"/>
  <c r="O31" i="10"/>
  <c r="N31" i="10"/>
  <c r="M31" i="10"/>
  <c r="L31" i="10"/>
  <c r="K31" i="10"/>
  <c r="J31" i="10"/>
  <c r="I31" i="10"/>
  <c r="G31" i="10"/>
  <c r="E31" i="10"/>
  <c r="D31" i="10"/>
  <c r="F31" i="10" s="1"/>
  <c r="C31" i="10"/>
  <c r="H51" i="5"/>
  <c r="G51" i="5"/>
  <c r="F51" i="5"/>
  <c r="H34" i="5"/>
  <c r="G34" i="5"/>
  <c r="F34" i="5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</calcChain>
</file>

<file path=xl/sharedStrings.xml><?xml version="1.0" encoding="utf-8"?>
<sst xmlns="http://schemas.openxmlformats.org/spreadsheetml/2006/main" count="2592" uniqueCount="712">
  <si>
    <t>ОТЧЕТ
о результатах деятельности государственного учреждения, подведомственного
Министерству труда и социальной защиты Саратовской области, и об использовании
закрепленного за ним государственного имущества</t>
  </si>
  <si>
    <t>КОДЫ</t>
  </si>
  <si>
    <t>Дата</t>
  </si>
  <si>
    <t>Учреждение</t>
  </si>
  <si>
    <t>Государственное автономное учреждение Саратовской области «Марксовский реабилитационный центр для детей и подростков с ограниченными возможностями»</t>
  </si>
  <si>
    <t>по Сводному реестру</t>
  </si>
  <si>
    <t>632J0068</t>
  </si>
  <si>
    <t>Тип учреждения</t>
  </si>
  <si>
    <t>03</t>
  </si>
  <si>
    <t>ИНН</t>
  </si>
  <si>
    <t>6443020342</t>
  </si>
  <si>
    <t>Наименование органа, осуществляющего функции и полномочия учредителя</t>
  </si>
  <si>
    <t>Министерство труда и социальной защиты Саратовской области</t>
  </si>
  <si>
    <t>КПП</t>
  </si>
  <si>
    <t>644301001</t>
  </si>
  <si>
    <t>Публично-правовое образование</t>
  </si>
  <si>
    <t>Саратовская область</t>
  </si>
  <si>
    <t>БК</t>
  </si>
  <si>
    <t>042</t>
  </si>
  <si>
    <t>Периодичность: годовая</t>
  </si>
  <si>
    <t>по ОКТМО</t>
  </si>
  <si>
    <t>63626101001</t>
  </si>
  <si>
    <t>Раздел 1. Результаты деятельности</t>
  </si>
  <si>
    <t>1. Сведения о поступлениях и выплатах учреждения</t>
  </si>
  <si>
    <t>1.1. Сведения об оказываемых услугах, выполняемых работах сверх установленного государственного задания, а также выпускаемой продукции</t>
  </si>
  <si>
    <t>1.2.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</si>
  <si>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1.2.1. Сведения о кредиторской задолженности и обязательствах учреждения</t>
  </si>
  <si>
    <t>1.3. Сведения о просроченной кредиторской задолженности</t>
  </si>
  <si>
    <t>1.4. Сведения о задолженности по ущербу, недостачам, хищениям денежных средств и материальных ценностей</t>
  </si>
  <si>
    <t>1.5. Сведения о численности сотрудников и оплате труда</t>
  </si>
  <si>
    <t>1.6.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</si>
  <si>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</si>
  <si>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2.1. Сведения о недвижимом имуществе, за исключением земельных участков, закрепленном на праве оперативного управления</t>
  </si>
  <si>
    <t>2.2. Сведения о земельных участках, предоставленных на праве постоянного (бессрочного) пользования</t>
  </si>
  <si>
    <t>2.3. Сведения о недвижимом имуществе, используемом по договору аренды</t>
  </si>
  <si>
    <t>2.4. Сведения о недвижимом имуществе, используемом по договору безвозмездного пользования (договору ссуды)</t>
  </si>
  <si>
    <t>2.5. Сведения об особо ценном движимом имуществе (за исключением транспортных средств)</t>
  </si>
  <si>
    <t>2.6. Сведения о транспортных средствах</t>
  </si>
  <si>
    <t>2.7. Сведения об имуществе, за исключением земельных участков, переданном в аренду</t>
  </si>
  <si>
    <t>Раздел 3. Эффективность деятельности</t>
  </si>
  <si>
    <t>3.1. Сведения о видах деятельности, в отношении которых установлен показатель эффективности</t>
  </si>
  <si>
    <t>3.2.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</si>
  <si>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</si>
  <si>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</si>
  <si>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</si>
  <si>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</si>
  <si>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</si>
  <si>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"__" __________ 20__ г.</t>
  </si>
  <si>
    <t>Раздел 1. Результаты деятельности учреждения</t>
  </si>
  <si>
    <t>14.12.24</t>
  </si>
  <si>
    <t>Орган, осуществляющий функции и полномочия учредителя</t>
  </si>
  <si>
    <t>глава по БК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</si>
  <si>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</si>
  <si>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</si>
  <si>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</si>
  <si>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</si>
  <si>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Изменение, %</t>
  </si>
  <si>
    <t>Доля в общей сумме поступлений, %</t>
  </si>
  <si>
    <t>за 2024 год (за отчетный финансовый год)</t>
  </si>
  <si>
    <t>за 2023 год (за год,  предшествующий отчетному)</t>
  </si>
  <si>
    <t>1</t>
  </si>
  <si>
    <t>2</t>
  </si>
  <si>
    <t>3</t>
  </si>
  <si>
    <t>4</t>
  </si>
  <si>
    <t>5</t>
  </si>
  <si>
    <t>6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</si>
  <si>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</si>
  <si>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</si>
  <si>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</si>
  <si>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</si>
  <si>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</si>
  <si>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</si>
  <si>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</si>
  <si>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</si>
  <si>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</si>
  <si>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</si>
  <si>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 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</si>
  <si>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</si>
  <si>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</si>
  <si>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</si>
  <si>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из бюджетов бюджетной системы Российской Федерации)</t>
  </si>
  <si>
    <t>0600</t>
  </si>
  <si>
    <t>из них: 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</si>
  <si>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</si>
  <si>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</si>
  <si>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</si>
  <si>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всего</t>
  </si>
  <si>
    <t>0800</t>
  </si>
  <si>
    <t>в том числе: 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</si>
  <si>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</si>
  <si>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</si>
  <si>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>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</si>
  <si>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</si>
  <si>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</si>
  <si>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</si>
  <si>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</si>
  <si>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</si>
  <si>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</si>
  <si>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</si>
  <si>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</si>
  <si>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</si>
  <si>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</si>
  <si>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</si>
  <si>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</si>
  <si>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</si>
  <si>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</si>
  <si>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</si>
  <si>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</si>
  <si>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</si>
  <si>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</si>
  <si>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</si>
  <si>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</si>
  <si>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</si>
  <si>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</si>
  <si>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</si>
  <si>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</si>
  <si>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</si>
  <si>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</si>
  <si>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</si>
  <si>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</si>
  <si>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</si>
  <si>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</si>
  <si>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</si>
  <si>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</si>
  <si>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</si>
  <si>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</si>
  <si>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Иные поступления, всего</t>
  </si>
  <si>
    <t>1300</t>
  </si>
  <si>
    <t>из них: возврат денежных обеспечений</t>
  </si>
  <si>
    <t>1301</t>
  </si>
  <si>
    <t>возврат денежных средств с депозитных счетов</t>
  </si>
  <si>
    <t>1302</t>
  </si>
  <si>
    <t>Итого</t>
  </si>
  <si>
    <t>9000</t>
  </si>
  <si>
    <t>x</t>
  </si>
  <si>
    <t>100%</t>
  </si>
  <si>
    <t>Раздел 2.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</si>
  <si>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</si>
  <si>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</si>
  <si>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</si>
  <si>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государственного задания</t>
  </si>
  <si>
    <t>доля в общей сумме выплат, отраженных в графе 3, %</t>
  </si>
  <si>
    <t>за счет средств субсидии 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</si>
  <si>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</si>
  <si>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</si>
  <si>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</si>
  <si>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</si>
  <si>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из федерального бюджета</t>
  </si>
  <si>
    <t>из бюджетов субъектов Российской Федерации и местных бюджетов</t>
  </si>
  <si>
    <t>за счет средств, полученных от оказания услуг, выполнения работ, реализации продукции</t>
  </si>
  <si>
    <t>за счет безвозмездных поступлений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</si>
  <si>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</si>
  <si>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</si>
  <si>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</si>
  <si>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</si>
  <si>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</si>
  <si>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</si>
  <si>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</si>
  <si>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</si>
  <si>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</si>
  <si>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</si>
  <si>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</si>
  <si>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</si>
  <si>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</si>
  <si>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</si>
  <si>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</si>
  <si>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</si>
  <si>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</si>
  <si>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 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</si>
  <si>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</si>
  <si>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</si>
  <si>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</si>
  <si>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</si>
  <si>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</si>
  <si>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</si>
  <si>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</si>
  <si>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</si>
  <si>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</si>
  <si>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</si>
  <si>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</si>
  <si>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нефинансовые активы</t>
  </si>
  <si>
    <t>0307</t>
  </si>
  <si>
    <t>Обслуживание долговых обязательств</t>
  </si>
  <si>
    <t>Безвозмездные 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</si>
  <si>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</si>
  <si>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</si>
  <si>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 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</si>
  <si>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</si>
  <si>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</si>
  <si>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</si>
  <si>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</si>
  <si>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</si>
  <si>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</si>
  <si>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</si>
  <si>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</si>
  <si>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</si>
  <si>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</si>
  <si>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</si>
  <si>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</si>
  <si>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</si>
  <si>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</si>
  <si>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 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</si>
  <si>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</si>
  <si>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</si>
  <si>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 перечисление денежных обеспечений</t>
  </si>
  <si>
    <t>перечисление денежных средств на депозитные счета</t>
  </si>
  <si>
    <t>(подпись)</t>
  </si>
  <si>
    <t>1.1. Сведения об оказываемых услугах, выполняемых работах 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</si>
  <si>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</si>
  <si>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</si>
  <si>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</si>
  <si>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</si>
  <si>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рубли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</si>
  <si>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</si>
  <si>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</si>
  <si>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</si>
  <si>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</si>
  <si>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</si>
  <si>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</si>
  <si>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</si>
  <si>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</si>
  <si>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</si>
  <si>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Занятие с педагогом-психологом в организации социального обслуживания</t>
  </si>
  <si>
    <t>85.41.9</t>
  </si>
  <si>
    <t>Приказ министерства труда и социальной защиты СО "Об утверждении предельных максимальных тарифов на доп.соц.услуги, оказываемые населению ГАУ СО "МРЦ"</t>
  </si>
  <si>
    <t>31.01.24</t>
  </si>
  <si>
    <t>92</t>
  </si>
  <si>
    <t>Лечебная физкультура</t>
  </si>
  <si>
    <t>86.9</t>
  </si>
  <si>
    <t>Физиотерапия</t>
  </si>
  <si>
    <t>Проведение обследования личности в организации социального обслуживания (педагог-психолог) Тест Векслера</t>
  </si>
  <si>
    <t>Проведение педагогического обследования личности в организации  (педагог психолог) Методика Стребелевой</t>
  </si>
  <si>
    <t>1400</t>
  </si>
  <si>
    <t>Коктейли кислородные</t>
  </si>
  <si>
    <t>1500</t>
  </si>
  <si>
    <t>Проведение обследования личности в организации социального обслуживания (логопед)</t>
  </si>
  <si>
    <t>1600</t>
  </si>
  <si>
    <t>Консультация логопеда в организации социального обслуживания</t>
  </si>
  <si>
    <t>1700</t>
  </si>
  <si>
    <t>Первичный прием и консультация врача педиатра</t>
  </si>
  <si>
    <t>1800</t>
  </si>
  <si>
    <t>Повторный прием и консультация врача педиатра повторная</t>
  </si>
  <si>
    <t>1900</t>
  </si>
  <si>
    <t>Медицинский массаж</t>
  </si>
  <si>
    <t>2000</t>
  </si>
  <si>
    <t>Консультация педагога-психолога в организации социального обслуживания</t>
  </si>
  <si>
    <t>2100</t>
  </si>
  <si>
    <t>Проведение педагогического обследования личности на дому у гражданина логопед</t>
  </si>
  <si>
    <t>2200</t>
  </si>
  <si>
    <t>Занятие с логопедом в организации социального обслуживания</t>
  </si>
  <si>
    <t>2300</t>
  </si>
  <si>
    <t>Поздравление с праздником  2  персонажа</t>
  </si>
  <si>
    <t>2400</t>
  </si>
  <si>
    <t>Ксерокопирование</t>
  </si>
  <si>
    <t>96.09</t>
  </si>
  <si>
    <t>2500</t>
  </si>
  <si>
    <t>Приказ ГАУ СО "МРЦ" "Об утверждении тарифов на сервисные услуги, оказываемые ГАУ СО "МРЦ"</t>
  </si>
  <si>
    <t>01.02.24</t>
  </si>
  <si>
    <t>27-п</t>
  </si>
  <si>
    <t>Проведение педагогического обследования личности в организации социального обслуживания (учитель дефектолог)</t>
  </si>
  <si>
    <t>2600</t>
  </si>
  <si>
    <t>Занятие с учителем дефектолом в организации социального обслуживания</t>
  </si>
  <si>
    <t>2700</t>
  </si>
  <si>
    <t>Раздел 2. Сведения о работах, выполняемых сверх установленного государственного задания</t>
  </si>
  <si>
    <t>Наименование выполняемых работ</t>
  </si>
  <si>
    <t>Объем выполненных работ</t>
  </si>
  <si>
    <t>Доход от выполнения работ, рубли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</si>
  <si>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</si>
  <si>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</si>
  <si>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</si>
  <si>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рубли</t>
  </si>
  <si>
    <t>Изготовление выпечки в ассортименте (сладкие)</t>
  </si>
  <si>
    <t>56.29.2</t>
  </si>
  <si>
    <t>Изготовление полуфабрикатов</t>
  </si>
  <si>
    <t>Изготовление выпечки в ассортименте (маленькие)</t>
  </si>
  <si>
    <t>Изготовление выпечки в ассортименте</t>
  </si>
  <si>
    <t>(фамилия, инициалы)</t>
  </si>
  <si>
    <t>1.2. Сведения о доходах учреждения в виде прибыли, приходящейся на доли 
в уставных (складочных) капиталах хозяйственных товариществ и обществ, или дивидендов по акциям, принадлежащим учреждению</t>
  </si>
  <si>
    <t>Организация (предприятие)</t>
  </si>
  <si>
    <t>Сумма вложений в уставный капитал</t>
  </si>
  <si>
    <t>Доля в уставном капитале, %</t>
  </si>
  <si>
    <t>Вид вложений</t>
  </si>
  <si>
    <t>Задолженность перед учреждением по перечислению части прибыли (дивидендов) на начало года</t>
  </si>
  <si>
    <t>Доходы, подлежащие получению за отчетный период</t>
  </si>
  <si>
    <t>Задолженность перед учреждением по перечислению части прибыли (дивидендов) на конец отчетного периода</t>
  </si>
  <si>
    <t>код по ОКОПФ</t>
  </si>
  <si>
    <t>дата создания</t>
  </si>
  <si>
    <t>основной вид деятельности</t>
  </si>
  <si>
    <t>начислено, рублей</t>
  </si>
  <si>
    <t>поступило, рублей</t>
  </si>
  <si>
    <t>Объем кредиторской задолженности на начало года</t>
  </si>
  <si>
    <t>Объем кредиторской задолженности на конец отчетного периода</t>
  </si>
  <si>
    <t>Объем отложенных обязательств учреждения</t>
  </si>
  <si>
    <t>из нее срок оплаты наступил в отчетном финансовом году</t>
  </si>
  <si>
    <t>из нее срок оплаты наступает в:</t>
  </si>
  <si>
    <t>в том числе:</t>
  </si>
  <si>
    <t>1 квартале, всего</t>
  </si>
  <si>
    <t>из нее: в январе</t>
  </si>
  <si>
    <t>2 квартале</t>
  </si>
  <si>
    <t>3 квартале</t>
  </si>
  <si>
    <t>4 квартале</t>
  </si>
  <si>
    <t>в очередном финансовом году 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</si>
  <si>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</si>
  <si>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</si>
  <si>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</si>
  <si>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</si>
  <si>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</si>
  <si>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</si>
  <si>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</si>
  <si>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</si>
  <si>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 по перечислению удержанного налога на доходы физических лиц</t>
  </si>
  <si>
    <t>3100</t>
  </si>
  <si>
    <t>по оплате страховых взносов на обязательные социальное страхование</t>
  </si>
  <si>
    <t>3200</t>
  </si>
  <si>
    <t>по оплате налогов, сборов, за исключением страховых взносов 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</si>
  <si>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</si>
  <si>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</si>
  <si>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</si>
  <si>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 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</si>
  <si>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</si>
  <si>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</si>
  <si>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</si>
  <si>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по софинансированию расходов</t>
  </si>
  <si>
    <t>3430</t>
  </si>
  <si>
    <t>По оплате товаров, работ, услуг, всего</t>
  </si>
  <si>
    <t>4000</t>
  </si>
  <si>
    <t>из них: по публичным договорам</t>
  </si>
  <si>
    <t>4100</t>
  </si>
  <si>
    <t>По оплате прочих расходов, всего</t>
  </si>
  <si>
    <t>5000</t>
  </si>
  <si>
    <t>из них: по выплатам, связанным с причинением вреда гражданам</t>
  </si>
  <si>
    <t>5100</t>
  </si>
  <si>
    <t>Объем просроченной кредиторской задолженности на начало года</t>
  </si>
  <si>
    <t>Предельно допустимые значения просроченной кредиторской задолженности</t>
  </si>
  <si>
    <t>Объем просроченной кредиторской задолженности на конец отчетного периода</t>
  </si>
  <si>
    <t>Изменение кредиторской задолженности</t>
  </si>
  <si>
    <t>Причина образования</t>
  </si>
  <si>
    <t>Меры, принимаемые 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</si>
  <si>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</si>
  <si>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</si>
  <si>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</si>
  <si>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</si>
  <si>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</si>
  <si>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процентах</t>
  </si>
  <si>
    <t>в абсолютных величинах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</si>
  <si>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</si>
  <si>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</si>
  <si>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</si>
  <si>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</si>
  <si>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из них: в связи с невыполнением государственного (муниципального) задания</t>
  </si>
  <si>
    <t>Остаток задолженности по возмещению ущерба 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</si>
  <si>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</si>
  <si>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</si>
  <si>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</si>
  <si>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по возмещению ущерба на конец отчетного периода</t>
  </si>
  <si>
    <t>из него на взыскании в службе судебных приставов</t>
  </si>
  <si>
    <t>из них взыскано с виновных лиц</t>
  </si>
  <si>
    <t>страховыми организациями</t>
  </si>
  <si>
    <t>из них в связи с прекращением взыскания по исполнительным листам</t>
  </si>
  <si>
    <t>виновные лица установлены</t>
  </si>
  <si>
    <t>виновные лица не установлены</t>
  </si>
  <si>
    <t>из них по решению суда</t>
  </si>
  <si>
    <t>Недостача, хищение денежных средств, всего</t>
  </si>
  <si>
    <t>в том числе: в связи с хищением (кражами)</t>
  </si>
  <si>
    <t>0110</t>
  </si>
  <si>
    <t>из них: возбуждено уголовных дел (находится в следственных органах)</t>
  </si>
  <si>
    <t>0111</t>
  </si>
  <si>
    <t>в связи с выявлением при обработке наличных денег денежных знаков, имеющих признаки подделки</t>
  </si>
  <si>
    <t>0120</t>
  </si>
  <si>
    <t>в связи с банкротством кредитной организации</t>
  </si>
  <si>
    <t>0130</t>
  </si>
  <si>
    <t>Ущерб имуществу (за исключением денежных средств)</t>
  </si>
  <si>
    <t>в том числе: 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</si>
  <si>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</si>
  <si>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</si>
  <si>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</si>
  <si>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</si>
  <si>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нанесением ущерба техническому состоянию объекта</t>
  </si>
  <si>
    <t>0230</t>
  </si>
  <si>
    <t>В связи с нарушением условий договоров (контрактов)</t>
  </si>
  <si>
    <t>в том числе: в связи с нарушением сроков (начислено пени, штрафов, неустойки)</t>
  </si>
  <si>
    <t>0310</t>
  </si>
  <si>
    <t>в связи с невыполнением условий о возврате предоплаты (аванса)</t>
  </si>
  <si>
    <t>0320</t>
  </si>
  <si>
    <t>Раздел 1. Сведения о численности сотрудников</t>
  </si>
  <si>
    <t>Группы персонала 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</si>
  <si>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</si>
  <si>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</si>
  <si>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гражданско-правового характера</t>
  </si>
  <si>
    <t>Штатная численность на конец отчетного периода</t>
  </si>
  <si>
    <t>установлено штатным расписанием</t>
  </si>
  <si>
    <t>из нее</t>
  </si>
  <si>
    <t>замещено</t>
  </si>
  <si>
    <t>вакантных должностей</t>
  </si>
  <si>
    <t>по основному месту работы</t>
  </si>
  <si>
    <t>по внутреннему совместительству (по совмещению должностей)</t>
  </si>
  <si>
    <t>по внешнему совместительству</t>
  </si>
  <si>
    <t>сотрудники учреждения</t>
  </si>
  <si>
    <t>физические лица, не являющиеся сотрудниками учреждения</t>
  </si>
  <si>
    <t>из нее по основным видам деятельности</t>
  </si>
  <si>
    <t>по основным видам деятельности</t>
  </si>
  <si>
    <t>Основной персонал, всего</t>
  </si>
  <si>
    <t>Прочие работники</t>
  </si>
  <si>
    <t>Врачи</t>
  </si>
  <si>
    <t>Средний медперсонал</t>
  </si>
  <si>
    <t>Педагогические работники</t>
  </si>
  <si>
    <t>Младший медперсонал</t>
  </si>
  <si>
    <t>Вспомогательный персонал, всего</t>
  </si>
  <si>
    <t>Вспомогательный персонал</t>
  </si>
  <si>
    <t>Административно-управленческий персонал, всего</t>
  </si>
  <si>
    <t>Административно-управленческий персонал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</si>
  <si>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</si>
  <si>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</si>
  <si>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</si>
  <si>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Начислено по договорам гражданско-правового характера, руб.</t>
  </si>
  <si>
    <t>Аналитическое распределение оплаты труда сотрудников по источникам финансового обеспечения, руб.</t>
  </si>
  <si>
    <t>по внутреннему совместительству (совмещению должностей)</t>
  </si>
  <si>
    <t>сотрудникам учреждения</t>
  </si>
  <si>
    <t>физическим лицам, не являющимися сотрудниками учреждения</t>
  </si>
  <si>
    <t>в том числе на условиях:</t>
  </si>
  <si>
    <t>за счет средств от приносящей доход деятельности</t>
  </si>
  <si>
    <t>полного рабочего времени</t>
  </si>
  <si>
    <t>неполного рабочего времени</t>
  </si>
  <si>
    <t>Основной персонал</t>
  </si>
  <si>
    <t>21</t>
  </si>
  <si>
    <t>22</t>
  </si>
  <si>
    <t>23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</si>
  <si>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</si>
  <si>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</si>
  <si>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</si>
  <si>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</si>
  <si>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</si>
  <si>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</si>
  <si>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</si>
  <si>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</si>
  <si>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</si>
  <si>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</si>
  <si>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</si>
  <si>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</si>
  <si>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</si>
  <si>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</si>
  <si>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</si>
  <si>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</si>
  <si>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</si>
  <si>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</si>
  <si>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</si>
  <si>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Номер счета в кредитной организации</t>
  </si>
  <si>
    <t>Вид счета</t>
  </si>
  <si>
    <t>Реквизиты акта, в соответствии с которым открыт счет</t>
  </si>
  <si>
    <t>Остаток средств на счете на начало года</t>
  </si>
  <si>
    <t>Остаток средств на счете на конец отчетного периода</t>
  </si>
  <si>
    <t>вид акта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</si>
  <si>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</si>
  <si>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</si>
  <si>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2.1 Сведения о недвижимом имуществе, за исключением земельных участков, 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</si>
  <si>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</si>
  <si>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</si>
  <si>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</si>
  <si>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</si>
  <si>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Уникальный код объекта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</si>
  <si>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</si>
  <si>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</si>
  <si>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</si>
  <si>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</si>
  <si>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Не используется</t>
  </si>
  <si>
    <t>Фактические расходы на содержание объекта недвижимого имущества (руб. в год)</t>
  </si>
  <si>
    <t>Наименование</t>
  </si>
  <si>
    <t>для осуществления основной деятельности</t>
  </si>
  <si>
    <t>для иных целей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</si>
  <si>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</si>
  <si>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</si>
  <si>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 (с почасовой оплатой)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</si>
  <si>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</si>
  <si>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</si>
  <si>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</si>
  <si>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</si>
  <si>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в рамках государственного задания</t>
  </si>
  <si>
    <t>за плату сверх государственного задания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</si>
  <si>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</si>
  <si>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</si>
  <si>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</si>
  <si>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</si>
  <si>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Иные объекты, включая точечные, всего</t>
  </si>
  <si>
    <t>шт</t>
  </si>
  <si>
    <t>796</t>
  </si>
  <si>
    <t>1001</t>
  </si>
  <si>
    <t>Нежилое здание 1</t>
  </si>
  <si>
    <t>413090 Саратовская область, г.Маркс, ул.К.Либкнехта, д.65</t>
  </si>
  <si>
    <t>63:226:003:000004210;Б.б1,б2,б3,б4,б5,1</t>
  </si>
  <si>
    <t>64-АВ599922</t>
  </si>
  <si>
    <t>1913</t>
  </si>
  <si>
    <t>Нежилое здание 2</t>
  </si>
  <si>
    <t>63:226:003:000004210;А.а1:20000</t>
  </si>
  <si>
    <t>64-АВ599923</t>
  </si>
  <si>
    <t>2.2 Сведения о земельных участках, предоставленных на праве постоянного (бессрочного) пользования</t>
  </si>
  <si>
    <t>Всего</t>
  </si>
  <si>
    <t>Справочно: используется по соглашениям об установлении сервитута</t>
  </si>
  <si>
    <t>Не используется учреждением</t>
  </si>
  <si>
    <t>Фактические расходы на содержание земельного участка (руб. в год)</t>
  </si>
  <si>
    <t>передано во временное пользование сторонним организациям</t>
  </si>
  <si>
    <t>по иным причинам</t>
  </si>
  <si>
    <t>эксплуатационные расходы</t>
  </si>
  <si>
    <t>налог 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</si>
  <si>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</si>
  <si>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</si>
  <si>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</si>
  <si>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413090 Саратовская обл., г.Маркс, ул.К.Либкнехта, д.65</t>
  </si>
  <si>
    <t>64:44:050129:1</t>
  </si>
  <si>
    <t>м2</t>
  </si>
  <si>
    <t>055</t>
  </si>
  <si>
    <t>2.3 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</si>
  <si>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</si>
  <si>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</si>
  <si>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</si>
  <si>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</si>
  <si>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</si>
  <si>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на содержание арендованного имущества руб./год</t>
  </si>
  <si>
    <t>Направление использования арендованного имущества</t>
  </si>
  <si>
    <t>Обоснование заключения договора аренды</t>
  </si>
  <si>
    <t>код по КИСЭ</t>
  </si>
  <si>
    <t>начала</t>
  </si>
  <si>
    <t>окончания</t>
  </si>
  <si>
    <t>за единицу меры руб./мес.</t>
  </si>
  <si>
    <t>за объект руб./год</t>
  </si>
  <si>
    <t>для осуществления иной деятельности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</si>
  <si>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</si>
  <si>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</si>
  <si>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руб./год</t>
  </si>
  <si>
    <t>за единицу меры руб./час</t>
  </si>
  <si>
    <t>за объект руб./час</t>
  </si>
  <si>
    <t>всего за год руб.</t>
  </si>
  <si>
    <t>2.4 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</si>
  <si>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</si>
  <si>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</si>
  <si>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Направление использования объекта недвижимого имущества</t>
  </si>
  <si>
    <t>Обоснование заключения договора ссуды</t>
  </si>
  <si>
    <t>за единицу меры (руб/мес)</t>
  </si>
  <si>
    <t>2.5 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</si>
  <si>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</si>
  <si>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</si>
  <si>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</si>
  <si>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</si>
  <si>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</si>
  <si>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</si>
  <si>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</si>
  <si>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</si>
  <si>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</si>
  <si>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</si>
  <si>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</si>
  <si>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</si>
  <si>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</si>
  <si>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</si>
  <si>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</si>
  <si>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</si>
  <si>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</si>
  <si>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</si>
  <si>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</t>
  </si>
  <si>
    <t>3110</t>
  </si>
  <si>
    <t>Прочие основные средства</t>
  </si>
  <si>
    <t>4110</t>
  </si>
  <si>
    <t>4200</t>
  </si>
  <si>
    <t>Фактический срок использования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</si>
  <si>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</si>
  <si>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</si>
  <si>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</si>
  <si>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</si>
  <si>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</si>
  <si>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</si>
  <si>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</si>
  <si>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</si>
  <si>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</si>
  <si>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</si>
  <si>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</si>
  <si>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</si>
  <si>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</si>
  <si>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</si>
  <si>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</si>
  <si>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</si>
  <si>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</si>
  <si>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</si>
  <si>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</si>
  <si>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</si>
  <si>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</si>
  <si>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</si>
  <si>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</si>
  <si>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</si>
  <si>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</si>
  <si>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</si>
  <si>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</si>
  <si>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</si>
  <si>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</si>
  <si>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</si>
  <si>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2.6 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</si>
  <si>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</si>
  <si>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</si>
  <si>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</si>
  <si>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</si>
  <si>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</si>
  <si>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</si>
  <si>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</si>
  <si>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</si>
  <si>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</si>
  <si>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в том числе: средней стоимостью менее 3 млн. руб., с года выпуска которых прошло не более 3 лет</t>
  </si>
  <si>
    <t>1101</t>
  </si>
  <si>
    <t>средней стоимостью менее 3 млн. руб., с года выпуска которых прошло более 3 лет</t>
  </si>
  <si>
    <t>1102</t>
  </si>
  <si>
    <t>ср. стоимостью от 3 млн. до 5 млн. руб. включительно, с года выпуска которых прошло не более 3 лет</t>
  </si>
  <si>
    <t>1103</t>
  </si>
  <si>
    <t>ср. стоимостью от 3 млн. до 5 млн. руб. включительно, с года выпуска которых прошло более 3 лет</t>
  </si>
  <si>
    <t>1104</t>
  </si>
  <si>
    <t>ср. стоимостью от 5 млн. до 10 млн. руб. включительно, с года выпуска которых прошло не более 3 лет</t>
  </si>
  <si>
    <t>1105</t>
  </si>
  <si>
    <t>ср. стоимостью от 5 млн. до 10 млн. руб. включительно, с года выпуска которых прошло более 3 лет</t>
  </si>
  <si>
    <t>1106</t>
  </si>
  <si>
    <t>ср. стоимостью от 10 млн. до 15 млн. руб. включительно</t>
  </si>
  <si>
    <t>1107</t>
  </si>
  <si>
    <t>ср. стоимостью от 15 млн. руб.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</si>
  <si>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</si>
  <si>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</si>
  <si>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</si>
  <si>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</si>
  <si>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</si>
  <si>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</si>
  <si>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</si>
  <si>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 на пневматическом и гусеничном ходу</t>
  </si>
  <si>
    <t>мотоциклы, мотороллеры</t>
  </si>
  <si>
    <t>Воздушные судна</t>
  </si>
  <si>
    <t>самолеты, всего</t>
  </si>
  <si>
    <t>в том числе: самолеты пассажирские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</si>
  <si>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</si>
  <si>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</si>
  <si>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</si>
  <si>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</si>
  <si>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</si>
  <si>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</si>
  <si>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</si>
  <si>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</si>
  <si>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</si>
  <si>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</si>
  <si>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в том числе: вертолеты пассажирские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</si>
  <si>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</si>
  <si>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</si>
  <si>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</si>
  <si>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</si>
  <si>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</si>
  <si>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</si>
  <si>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</si>
  <si>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</si>
  <si>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</si>
  <si>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</si>
  <si>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</si>
  <si>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</si>
  <si>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</si>
  <si>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</si>
  <si>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</si>
  <si>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</si>
  <si>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</si>
  <si>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</si>
  <si>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</si>
  <si>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</si>
  <si>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</si>
  <si>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</si>
  <si>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</si>
  <si>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</si>
  <si>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</si>
  <si>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</si>
  <si>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</si>
  <si>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в связи с аварийным состоянием (требуется ремонт)</t>
  </si>
  <si>
    <t>в связи с аварийным состоянием (подлежит списанию)</t>
  </si>
  <si>
    <t>излишнее имущество (подлежит передаче 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</si>
  <si>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</si>
  <si>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</si>
  <si>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</si>
  <si>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</si>
  <si>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иных целях</t>
  </si>
  <si>
    <t>в оперативном управлении учреждения, ед.</t>
  </si>
  <si>
    <t>по договорам аренды, ед.</t>
  </si>
  <si>
    <t>по договорам безвозмездного пользования, ед.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</si>
  <si>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</si>
  <si>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</si>
  <si>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за отчетный период</t>
  </si>
  <si>
    <t>на обслуживание транспортных средств</t>
  </si>
  <si>
    <t>содержание гаражей</t>
  </si>
  <si>
    <t>уплата транспортного налога</t>
  </si>
  <si>
    <t>расходы на горюче-смазочные материалы</t>
  </si>
  <si>
    <t>приобретение (замена) колес, шин, дисков</t>
  </si>
  <si>
    <t>расходы на ОСАГО</t>
  </si>
  <si>
    <t>ремонт, включая приобретение запасных частей</t>
  </si>
  <si>
    <t>техобслуживание сторонними организациями</t>
  </si>
  <si>
    <t>аренда гаражей, парковочных мест</t>
  </si>
  <si>
    <t>водителей</t>
  </si>
  <si>
    <t>обслуживающего персонала гаражей</t>
  </si>
  <si>
    <t>административного персонала гаражей</t>
  </si>
  <si>
    <t>2.7 Сведения об имуществе, за исключением земельных участков, переданном в аренду</t>
  </si>
  <si>
    <t>Вид объекта</t>
  </si>
  <si>
    <t>Объем переданного имущества</t>
  </si>
  <si>
    <t>Направление использования</t>
  </si>
  <si>
    <t>Комментарий</t>
  </si>
  <si>
    <t>Единица измерения: руб.</t>
  </si>
  <si>
    <t>по ОКЕИ</t>
  </si>
  <si>
    <t>383</t>
  </si>
  <si>
    <t>Вид деятельности</t>
  </si>
  <si>
    <t>Наименование и реквизиты правового акта</t>
  </si>
  <si>
    <t>Номер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</si>
  <si>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</si>
  <si>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</si>
  <si>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</si>
  <si>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</si>
  <si>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</si>
  <si>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Код по ОКЕИ</t>
  </si>
  <si>
    <t>на 01.01.2025 г.</t>
  </si>
  <si>
    <t>на 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</si>
</sst>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8"/>
      <color rgb="FF000000"/>
      <name val="Verdana"/>
    </font>
    <font>
      <b/>
      <sz val="1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1D1D1D"/>
      <name val="Verdana"/>
      <family val="2"/>
      <charset val="204"/>
    </font>
    <font>
      <b/>
      <sz val="14"/>
      <color rgb="FF000000"/>
      <name val="Verdana"/>
      <family val="2"/>
      <charset val="204"/>
    </font>
    <font>
      <sz val="14"/>
      <color rgb="FF000000"/>
      <name val="Verdana"/>
      <family val="2"/>
      <charset val="204"/>
    </font>
    <font>
      <b/>
      <sz val="16"/>
      <color rgb="FF000000"/>
      <name val="Verdana"/>
      <family val="2"/>
      <charset val="204"/>
    </font>
    <font>
      <sz val="16"/>
      <color rgb="FF000000"/>
      <name val="Verdana"/>
      <family val="2"/>
      <charset val="204"/>
    </font>
    <font>
      <sz val="20"/>
      <color rgb="FF000000"/>
      <name val="Verdana"/>
      <family val="2"/>
      <charset val="204"/>
    </font>
    <font>
      <b/>
      <sz val="2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b/>
      <sz val="26"/>
      <color rgb="FF000000"/>
      <name val="Verdana"/>
      <family val="2"/>
      <charset val="204"/>
    </font>
    <font>
      <sz val="26"/>
      <color rgb="FF000000"/>
      <name val="Verdana"/>
      <family val="2"/>
      <charset val="204"/>
    </font>
    <font>
      <b/>
      <sz val="24"/>
      <color rgb="FF000000"/>
      <name val="Verdana"/>
      <family val="2"/>
      <charset val="204"/>
    </font>
    <font>
      <sz val="24"/>
      <color rgb="FF000000"/>
      <name val="Verdana"/>
      <family val="2"/>
      <charset val="204"/>
    </font>
    <font>
      <sz val="18"/>
      <color rgb="FF000000"/>
      <name val="Verdana"/>
      <family val="2"/>
      <charset val="204"/>
    </font>
    <font>
      <b/>
      <sz val="18"/>
      <color rgb="FF000000"/>
      <name val="Verdana"/>
      <family val="2"/>
      <charset val="204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5" fillId="7" borderId="5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10" fillId="12" borderId="11" applyBorder="0">
      <alignment horizontal="center" wrapText="1"/>
    </xf>
    <xf numFmtId="0" fontId="11" fillId="13" borderId="12" applyBorder="0">
      <alignment horizontal="center" vertical="center" wrapText="1"/>
    </xf>
    <xf numFmtId="0" fontId="13" fillId="15" borderId="14" applyBorder="0">
      <alignment horizontal="right" vertical="center" wrapText="1"/>
    </xf>
    <xf numFmtId="0" fontId="17" fillId="19" borderId="18" applyBorder="0">
      <alignment horizontal="center" vertical="center" wrapText="1"/>
    </xf>
    <xf numFmtId="0" fontId="18" fillId="20" borderId="19" applyBorder="0">
      <alignment horizontal="center" vertical="center" wrapText="1"/>
    </xf>
  </cellStyleXfs>
  <cellXfs count="134">
    <xf numFmtId="0" fontId="0" fillId="2" borderId="0" xfId="0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4" fontId="4" fillId="6" borderId="4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13" fillId="15" borderId="14" xfId="0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4" fontId="15" fillId="17" borderId="16" xfId="0" applyNumberFormat="1" applyFont="1" applyFill="1" applyBorder="1" applyAlignment="1">
      <alignment horizontal="right" vertical="center" wrapText="1" indent="1"/>
    </xf>
    <xf numFmtId="0" fontId="16" fillId="18" borderId="17" xfId="0" applyFont="1" applyFill="1" applyBorder="1" applyAlignment="1">
      <alignment horizontal="left" vertical="center" wrapText="1"/>
    </xf>
    <xf numFmtId="0" fontId="17" fillId="19" borderId="18" xfId="0" applyFont="1" applyFill="1" applyBorder="1" applyAlignment="1">
      <alignment horizontal="center" vertical="center" wrapText="1"/>
    </xf>
    <xf numFmtId="0" fontId="20" fillId="2" borderId="0" xfId="0" applyFont="1">
      <alignment horizontal="left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left" vertical="center" wrapText="1"/>
    </xf>
    <xf numFmtId="4" fontId="20" fillId="6" borderId="4" xfId="0" applyNumberFormat="1" applyFont="1" applyFill="1" applyBorder="1" applyAlignment="1">
      <alignment horizontal="right" vertical="center" wrapText="1" indent="1"/>
    </xf>
    <xf numFmtId="0" fontId="19" fillId="16" borderId="15" xfId="0" applyFont="1" applyFill="1" applyBorder="1" applyAlignment="1">
      <alignment horizontal="right" vertical="center" wrapText="1"/>
    </xf>
    <xf numFmtId="0" fontId="19" fillId="19" borderId="18" xfId="0" applyFont="1" applyFill="1" applyBorder="1" applyAlignment="1">
      <alignment horizontal="center" vertical="center" wrapText="1"/>
    </xf>
    <xf numFmtId="4" fontId="19" fillId="17" borderId="16" xfId="0" applyNumberFormat="1" applyFont="1" applyFill="1" applyBorder="1" applyAlignment="1">
      <alignment horizontal="right" vertical="center" wrapText="1" indent="1"/>
    </xf>
    <xf numFmtId="0" fontId="20" fillId="10" borderId="8" xfId="0" applyFont="1" applyFill="1" applyBorder="1" applyAlignment="1">
      <alignment horizontal="left" vertical="center" wrapText="1"/>
    </xf>
    <xf numFmtId="0" fontId="20" fillId="13" borderId="12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20" fillId="15" borderId="14" xfId="0" applyFont="1" applyFill="1" applyBorder="1" applyAlignment="1">
      <alignment horizontal="right" vertical="center" wrapText="1"/>
    </xf>
    <xf numFmtId="0" fontId="19" fillId="18" borderId="17" xfId="0" applyFont="1" applyFill="1" applyBorder="1" applyAlignment="1">
      <alignment horizontal="left" vertical="center" wrapText="1"/>
    </xf>
    <xf numFmtId="4" fontId="21" fillId="17" borderId="16" xfId="0" applyNumberFormat="1" applyFont="1" applyFill="1" applyBorder="1" applyAlignment="1">
      <alignment horizontal="right" vertical="center" wrapText="1" indent="1"/>
    </xf>
    <xf numFmtId="0" fontId="22" fillId="4" borderId="2" xfId="0" applyFont="1" applyFill="1" applyBorder="1" applyAlignment="1">
      <alignment horizontal="center" vertical="center" wrapText="1"/>
    </xf>
    <xf numFmtId="4" fontId="22" fillId="6" borderId="4" xfId="0" applyNumberFormat="1" applyFont="1" applyFill="1" applyBorder="1" applyAlignment="1">
      <alignment horizontal="right" vertical="center" wrapText="1" indent="1"/>
    </xf>
    <xf numFmtId="0" fontId="22" fillId="5" borderId="3" xfId="0" applyFont="1" applyFill="1" applyBorder="1" applyAlignment="1">
      <alignment horizontal="left" vertical="center" wrapText="1"/>
    </xf>
    <xf numFmtId="0" fontId="22" fillId="2" borderId="0" xfId="0" applyFont="1">
      <alignment horizontal="left" vertical="center"/>
    </xf>
    <xf numFmtId="0" fontId="22" fillId="11" borderId="9" xfId="0" applyFont="1" applyFill="1" applyBorder="1" applyAlignment="1">
      <alignment horizontal="center" vertical="center" wrapText="1"/>
    </xf>
    <xf numFmtId="0" fontId="22" fillId="15" borderId="14" xfId="0" applyFont="1" applyFill="1" applyBorder="1" applyAlignment="1">
      <alignment horizontal="right" vertical="center" wrapText="1"/>
    </xf>
    <xf numFmtId="0" fontId="22" fillId="10" borderId="8" xfId="0" applyFont="1" applyFill="1" applyBorder="1" applyAlignment="1">
      <alignment horizontal="left" vertical="center" wrapText="1"/>
    </xf>
    <xf numFmtId="0" fontId="22" fillId="13" borderId="12" xfId="0" applyFont="1" applyFill="1" applyBorder="1" applyAlignment="1">
      <alignment horizontal="center" vertical="center" wrapText="1"/>
    </xf>
    <xf numFmtId="0" fontId="21" fillId="16" borderId="15" xfId="0" applyFont="1" applyFill="1" applyBorder="1" applyAlignment="1">
      <alignment horizontal="right" vertical="center" wrapText="1"/>
    </xf>
    <xf numFmtId="0" fontId="23" fillId="2" borderId="0" xfId="0" applyFont="1">
      <alignment horizontal="left" vertical="center"/>
    </xf>
    <xf numFmtId="0" fontId="24" fillId="4" borderId="2" xfId="0" applyFont="1" applyFill="1" applyBorder="1" applyAlignment="1">
      <alignment horizontal="center" vertical="center" wrapText="1"/>
    </xf>
    <xf numFmtId="4" fontId="24" fillId="6" borderId="4" xfId="0" applyNumberFormat="1" applyFont="1" applyFill="1" applyBorder="1" applyAlignment="1">
      <alignment horizontal="right" vertical="center" wrapText="1" indent="1"/>
    </xf>
    <xf numFmtId="0" fontId="24" fillId="2" borderId="0" xfId="0" applyFont="1">
      <alignment horizontal="left" vertical="center"/>
    </xf>
    <xf numFmtId="0" fontId="24" fillId="16" borderId="15" xfId="0" applyFont="1" applyFill="1" applyBorder="1" applyAlignment="1">
      <alignment horizontal="right" vertical="center" wrapText="1"/>
    </xf>
    <xf numFmtId="0" fontId="24" fillId="19" borderId="18" xfId="0" applyFont="1" applyFill="1" applyBorder="1" applyAlignment="1">
      <alignment horizontal="center" vertical="center" wrapText="1"/>
    </xf>
    <xf numFmtId="4" fontId="24" fillId="17" borderId="16" xfId="0" applyNumberFormat="1" applyFont="1" applyFill="1" applyBorder="1" applyAlignment="1">
      <alignment horizontal="right" vertical="center" wrapText="1" indent="1"/>
    </xf>
    <xf numFmtId="0" fontId="24" fillId="18" borderId="17" xfId="0" applyFont="1" applyFill="1" applyBorder="1" applyAlignment="1">
      <alignment horizontal="left" vertical="center" wrapText="1"/>
    </xf>
    <xf numFmtId="4" fontId="21" fillId="6" borderId="4" xfId="0" applyNumberFormat="1" applyFont="1" applyFill="1" applyBorder="1" applyAlignment="1">
      <alignment horizontal="right" vertical="center" wrapText="1" indent="1"/>
    </xf>
    <xf numFmtId="4" fontId="21" fillId="21" borderId="16" xfId="0" applyNumberFormat="1" applyFont="1" applyFill="1" applyBorder="1" applyAlignment="1">
      <alignment horizontal="right" vertical="center" wrapText="1" indent="1"/>
    </xf>
    <xf numFmtId="0" fontId="22" fillId="21" borderId="2" xfId="0" applyFont="1" applyFill="1" applyBorder="1" applyAlignment="1">
      <alignment horizontal="center" vertical="center" wrapText="1"/>
    </xf>
    <xf numFmtId="4" fontId="21" fillId="21" borderId="4" xfId="0" applyNumberFormat="1" applyFont="1" applyFill="1" applyBorder="1" applyAlignment="1">
      <alignment horizontal="right" vertical="center" wrapText="1" indent="1"/>
    </xf>
    <xf numFmtId="4" fontId="25" fillId="17" borderId="16" xfId="0" applyNumberFormat="1" applyFont="1" applyFill="1" applyBorder="1" applyAlignment="1">
      <alignment horizontal="right" vertical="center" wrapText="1" indent="1"/>
    </xf>
    <xf numFmtId="4" fontId="26" fillId="6" borderId="4" xfId="0" applyNumberFormat="1" applyFont="1" applyFill="1" applyBorder="1" applyAlignment="1">
      <alignment horizontal="right" vertical="center" wrapText="1" indent="1"/>
    </xf>
    <xf numFmtId="4" fontId="27" fillId="17" borderId="16" xfId="0" applyNumberFormat="1" applyFont="1" applyFill="1" applyBorder="1" applyAlignment="1">
      <alignment horizontal="right" vertical="center" wrapText="1" indent="1"/>
    </xf>
    <xf numFmtId="0" fontId="28" fillId="4" borderId="2" xfId="0" applyFont="1" applyFill="1" applyBorder="1" applyAlignment="1">
      <alignment horizontal="center" vertical="center" wrapText="1"/>
    </xf>
    <xf numFmtId="4" fontId="27" fillId="6" borderId="4" xfId="0" applyNumberFormat="1" applyFont="1" applyFill="1" applyBorder="1" applyAlignment="1">
      <alignment horizontal="right" vertical="center" wrapText="1" indent="1"/>
    </xf>
    <xf numFmtId="0" fontId="27" fillId="5" borderId="3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center" vertical="center" wrapText="1"/>
    </xf>
    <xf numFmtId="4" fontId="29" fillId="6" borderId="4" xfId="0" applyNumberFormat="1" applyFont="1" applyFill="1" applyBorder="1" applyAlignment="1">
      <alignment horizontal="right" vertical="center" wrapText="1" indent="1"/>
    </xf>
    <xf numFmtId="4" fontId="29" fillId="17" borderId="16" xfId="0" applyNumberFormat="1" applyFont="1" applyFill="1" applyBorder="1" applyAlignment="1">
      <alignment horizontal="right" vertical="center" wrapText="1" indent="1"/>
    </xf>
    <xf numFmtId="0" fontId="30" fillId="2" borderId="0" xfId="0" applyFont="1">
      <alignment horizontal="left" vertical="center"/>
    </xf>
    <xf numFmtId="0" fontId="26" fillId="4" borderId="2" xfId="0" applyFont="1" applyFill="1" applyBorder="1" applyAlignment="1">
      <alignment horizontal="center" vertical="center" wrapText="1"/>
    </xf>
    <xf numFmtId="0" fontId="26" fillId="2" borderId="0" xfId="0" applyFont="1">
      <alignment horizontal="left" vertical="center"/>
    </xf>
    <xf numFmtId="0" fontId="26" fillId="11" borderId="9" xfId="0" applyFont="1" applyFill="1" applyBorder="1" applyAlignment="1">
      <alignment horizontal="center" vertical="center" wrapText="1"/>
    </xf>
    <xf numFmtId="0" fontId="26" fillId="15" borderId="14" xfId="0" applyFont="1" applyFill="1" applyBorder="1" applyAlignment="1">
      <alignment horizontal="right" vertical="center" wrapText="1"/>
    </xf>
    <xf numFmtId="0" fontId="26" fillId="10" borderId="8" xfId="0" applyFont="1" applyFill="1" applyBorder="1" applyAlignment="1">
      <alignment horizontal="left" vertical="center" wrapText="1"/>
    </xf>
    <xf numFmtId="0" fontId="26" fillId="13" borderId="1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left" vertical="center" wrapText="1"/>
    </xf>
    <xf numFmtId="0" fontId="25" fillId="16" borderId="15" xfId="0" applyFont="1" applyFill="1" applyBorder="1" applyAlignment="1">
      <alignment horizontal="right" vertical="center" wrapText="1"/>
    </xf>
    <xf numFmtId="0" fontId="25" fillId="19" borderId="18" xfId="0" applyFont="1" applyFill="1" applyBorder="1" applyAlignment="1">
      <alignment horizontal="center" vertical="center" wrapText="1"/>
    </xf>
    <xf numFmtId="0" fontId="25" fillId="18" borderId="17" xfId="0" applyFont="1" applyFill="1" applyBorder="1" applyAlignment="1">
      <alignment horizontal="left" vertical="center" wrapText="1"/>
    </xf>
    <xf numFmtId="0" fontId="21" fillId="18" borderId="17" xfId="0" applyFont="1" applyFill="1" applyBorder="1" applyAlignment="1">
      <alignment horizontal="left" vertical="center" wrapText="1"/>
    </xf>
    <xf numFmtId="0" fontId="21" fillId="19" borderId="18" xfId="0" applyFont="1" applyFill="1" applyBorder="1" applyAlignment="1">
      <alignment horizontal="center" vertical="center" wrapText="1"/>
    </xf>
    <xf numFmtId="0" fontId="31" fillId="2" borderId="0" xfId="0" applyFont="1">
      <alignment horizontal="left" vertical="center"/>
    </xf>
    <xf numFmtId="0" fontId="31" fillId="10" borderId="8" xfId="0" applyFont="1" applyFill="1" applyBorder="1" applyAlignment="1">
      <alignment horizontal="left" vertical="center" wrapText="1"/>
    </xf>
    <xf numFmtId="0" fontId="31" fillId="13" borderId="12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15" borderId="14" xfId="0" applyFont="1" applyFill="1" applyBorder="1" applyAlignment="1">
      <alignment horizontal="right" vertical="center" wrapText="1"/>
    </xf>
    <xf numFmtId="0" fontId="31" fillId="5" borderId="3" xfId="0" applyFont="1" applyFill="1" applyBorder="1" applyAlignment="1">
      <alignment horizontal="left" vertical="center" wrapText="1"/>
    </xf>
    <xf numFmtId="4" fontId="31" fillId="6" borderId="4" xfId="0" applyNumberFormat="1" applyFont="1" applyFill="1" applyBorder="1" applyAlignment="1">
      <alignment horizontal="right" vertical="center" wrapText="1" indent="1"/>
    </xf>
    <xf numFmtId="0" fontId="32" fillId="16" borderId="15" xfId="0" applyFont="1" applyFill="1" applyBorder="1" applyAlignment="1">
      <alignment horizontal="right" vertical="center" wrapText="1"/>
    </xf>
    <xf numFmtId="4" fontId="32" fillId="17" borderId="16" xfId="0" applyNumberFormat="1" applyFont="1" applyFill="1" applyBorder="1" applyAlignment="1">
      <alignment horizontal="right" vertical="center" wrapText="1" indent="1"/>
    </xf>
    <xf numFmtId="0" fontId="32" fillId="18" borderId="17" xfId="0" applyFont="1" applyFill="1" applyBorder="1" applyAlignment="1">
      <alignment horizontal="left" vertical="center" wrapText="1"/>
    </xf>
    <xf numFmtId="0" fontId="32" fillId="19" borderId="18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" fontId="20" fillId="2" borderId="0" xfId="0" applyNumberFormat="1" applyFont="1">
      <alignment horizontal="left" vertical="center"/>
    </xf>
    <xf numFmtId="4" fontId="1" fillId="17" borderId="16" xfId="0" applyNumberFormat="1" applyFont="1" applyFill="1" applyBorder="1" applyAlignment="1">
      <alignment horizontal="right" vertical="center" wrapText="1" indent="1"/>
    </xf>
    <xf numFmtId="0" fontId="22" fillId="22" borderId="0" xfId="0" applyFont="1" applyFill="1">
      <alignment horizontal="left" vertical="center"/>
    </xf>
    <xf numFmtId="0" fontId="22" fillId="22" borderId="2" xfId="0" applyFont="1" applyFill="1" applyBorder="1" applyAlignment="1">
      <alignment horizontal="center" vertical="center" wrapText="1"/>
    </xf>
    <xf numFmtId="0" fontId="22" fillId="22" borderId="3" xfId="0" applyFont="1" applyFill="1" applyBorder="1" applyAlignment="1">
      <alignment horizontal="left" vertical="center" wrapText="1"/>
    </xf>
    <xf numFmtId="4" fontId="31" fillId="22" borderId="4" xfId="0" applyNumberFormat="1" applyFont="1" applyFill="1" applyBorder="1" applyAlignment="1">
      <alignment horizontal="right" vertical="center" wrapText="1" indent="1"/>
    </xf>
    <xf numFmtId="0" fontId="1" fillId="22" borderId="15" xfId="0" applyFont="1" applyFill="1" applyBorder="1" applyAlignment="1">
      <alignment horizontal="right" vertical="center" wrapText="1"/>
    </xf>
    <xf numFmtId="0" fontId="1" fillId="22" borderId="18" xfId="0" applyFont="1" applyFill="1" applyBorder="1" applyAlignment="1">
      <alignment horizontal="center" vertical="center" wrapText="1"/>
    </xf>
    <xf numFmtId="4" fontId="32" fillId="22" borderId="16" xfId="0" applyNumberFormat="1" applyFont="1" applyFill="1" applyBorder="1" applyAlignment="1">
      <alignment horizontal="right" vertical="center" wrapText="1" indent="1"/>
    </xf>
    <xf numFmtId="0" fontId="32" fillId="22" borderId="18" xfId="0" applyFont="1" applyFill="1" applyBorder="1" applyAlignment="1">
      <alignment horizontal="center" vertical="center" wrapText="1"/>
    </xf>
    <xf numFmtId="0" fontId="22" fillId="22" borderId="8" xfId="0" applyFont="1" applyFill="1" applyBorder="1" applyAlignment="1">
      <alignment horizontal="left" vertical="center" wrapText="1"/>
    </xf>
    <xf numFmtId="0" fontId="22" fillId="22" borderId="12" xfId="0" applyFont="1" applyFill="1" applyBorder="1" applyAlignment="1">
      <alignment horizontal="center" vertical="center" wrapText="1"/>
    </xf>
    <xf numFmtId="0" fontId="22" fillId="22" borderId="10" xfId="0" applyFont="1" applyFill="1" applyBorder="1" applyAlignment="1">
      <alignment horizontal="center" vertical="center" wrapText="1"/>
    </xf>
    <xf numFmtId="0" fontId="12" fillId="14" borderId="13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22" fillId="22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10" borderId="8" xfId="0" applyFont="1" applyFill="1" applyBorder="1" applyAlignment="1">
      <alignment horizontal="left" vertical="center" wrapText="1"/>
    </xf>
    <xf numFmtId="0" fontId="26" fillId="13" borderId="12" xfId="0" applyFont="1" applyFill="1" applyBorder="1" applyAlignment="1">
      <alignment horizontal="center" vertical="center" wrapText="1"/>
    </xf>
    <xf numFmtId="0" fontId="26" fillId="11" borderId="9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left" vertical="center" wrapText="1"/>
    </xf>
    <xf numFmtId="0" fontId="22" fillId="13" borderId="12" xfId="0" applyFont="1" applyFill="1" applyBorder="1" applyAlignment="1">
      <alignment horizontal="center" vertical="center" wrapText="1"/>
    </xf>
    <xf numFmtId="0" fontId="22" fillId="11" borderId="9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left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30" fillId="11" borderId="9" xfId="0" applyFont="1" applyFill="1" applyBorder="1" applyAlignment="1">
      <alignment horizontal="center" vertical="center" wrapText="1"/>
    </xf>
    <xf numFmtId="0" fontId="31" fillId="10" borderId="8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13" borderId="12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0" fontId="32" fillId="7" borderId="5" xfId="0" applyFont="1" applyFill="1" applyBorder="1" applyAlignment="1">
      <alignment horizontal="center" vertical="center" wrapText="1"/>
    </xf>
    <xf numFmtId="0" fontId="20" fillId="13" borderId="12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31" fillId="2" borderId="0" xfId="0" applyFont="1">
      <alignment horizontal="left" vertical="center"/>
    </xf>
    <xf numFmtId="0" fontId="22" fillId="2" borderId="0" xfId="0" applyFont="1">
      <alignment horizontal="left" vertical="center"/>
    </xf>
    <xf numFmtId="0" fontId="20" fillId="2" borderId="0" xfId="0" applyFont="1">
      <alignment horizontal="left" vertical="center"/>
    </xf>
    <xf numFmtId="4" fontId="22" fillId="0" borderId="4" xfId="0" applyNumberFormat="1" applyFont="1" applyFill="1" applyBorder="1" applyAlignment="1">
      <alignment horizontal="right" vertical="center" wrapText="1" indent="1"/>
    </xf>
    <xf numFmtId="4" fontId="20" fillId="0" borderId="4" xfId="0" applyNumberFormat="1" applyFont="1" applyFill="1" applyBorder="1" applyAlignment="1">
      <alignment horizontal="right" vertical="center" wrapText="1" indent="1"/>
    </xf>
    <xf numFmtId="4" fontId="22" fillId="22" borderId="4" xfId="0" applyNumberFormat="1" applyFont="1" applyFill="1" applyBorder="1" applyAlignment="1">
      <alignment horizontal="right" vertical="center" wrapText="1" indent="1"/>
    </xf>
    <xf numFmtId="4" fontId="1" fillId="22" borderId="16" xfId="0" applyNumberFormat="1" applyFont="1" applyFill="1" applyBorder="1" applyAlignment="1">
      <alignment horizontal="right" vertical="center" wrapText="1" indent="1"/>
    </xf>
  </cellXfs>
  <cellStyles count="10">
    <cellStyle name="bold_border_center_str" xfId="8" xr:uid="{00000000-0005-0000-0000-00000B000000}"/>
    <cellStyle name="border_center_str" xfId="2" xr:uid="{00000000-0005-0000-0000-000002000000}"/>
    <cellStyle name="bottom_center_str" xfId="6" xr:uid="{00000000-0005-0000-0000-000013000000}"/>
    <cellStyle name="center_bottom_str8" xfId="5" xr:uid="{00000000-0005-0000-0000-000012000000}"/>
    <cellStyle name="left_str" xfId="4" xr:uid="{00000000-0005-0000-0000-00000E000000}"/>
    <cellStyle name="right_str" xfId="7" xr:uid="{00000000-0005-0000-0000-000015000000}"/>
    <cellStyle name="table_head" xfId="9" xr:uid="{00000000-0005-0000-0000-00001A000000}"/>
    <cellStyle name="title" xfId="1" xr:uid="{00000000-0005-0000-0000-000001000000}"/>
    <cellStyle name="title8" xfId="3" xr:uid="{00000000-0005-0000-0000-000008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648B-745C-43A4-9403-DAC6E3F51B82}">
  <sheetPr>
    <pageSetUpPr fitToPage="1"/>
  </sheetPr>
  <dimension ref="A1:G37"/>
  <sheetViews>
    <sheetView zoomScale="90" zoomScaleNormal="90" workbookViewId="0">
      <selection activeCell="G6" sqref="G6"/>
    </sheetView>
  </sheetViews>
  <sheetFormatPr defaultRowHeight="10.5" x14ac:dyDescent="0.15"/>
  <cols>
    <col min="1" max="4" width="28.7109375" customWidth="1"/>
    <col min="5" max="5" width="9.5703125" customWidth="1"/>
    <col min="6" max="9" width="28.7109375" customWidth="1"/>
  </cols>
  <sheetData>
    <row r="1" spans="1:7" ht="20.100000000000001" customHeight="1" x14ac:dyDescent="0.15"/>
    <row r="2" spans="1:7" ht="99.95" customHeight="1" x14ac:dyDescent="0.15">
      <c r="A2" s="97" t="s">
        <v>0</v>
      </c>
      <c r="B2" s="97"/>
      <c r="C2" s="97"/>
      <c r="D2" s="97"/>
      <c r="E2" s="97"/>
      <c r="F2" s="97"/>
      <c r="G2" s="97"/>
    </row>
    <row r="3" spans="1:7" ht="30" customHeight="1" x14ac:dyDescent="0.15">
      <c r="A3" s="97" t="s">
        <v>710</v>
      </c>
      <c r="B3" s="97"/>
      <c r="C3" s="97"/>
      <c r="D3" s="97"/>
      <c r="E3" s="97"/>
      <c r="F3" s="97"/>
      <c r="G3" s="97"/>
    </row>
    <row r="4" spans="1:7" ht="20.100000000000001" customHeight="1" x14ac:dyDescent="0.15">
      <c r="G4" s="1" t="s">
        <v>1</v>
      </c>
    </row>
    <row r="5" spans="1:7" ht="39.950000000000003" customHeight="1" x14ac:dyDescent="0.15">
      <c r="F5" s="6" t="s">
        <v>2</v>
      </c>
      <c r="G5" s="81">
        <v>45658</v>
      </c>
    </row>
    <row r="6" spans="1:7" ht="39.950000000000003" customHeight="1" x14ac:dyDescent="0.15">
      <c r="A6" s="96" t="s">
        <v>3</v>
      </c>
      <c r="B6" s="96"/>
      <c r="C6" s="96" t="s">
        <v>4</v>
      </c>
      <c r="D6" s="96"/>
      <c r="F6" s="6" t="s">
        <v>5</v>
      </c>
      <c r="G6" s="1" t="s">
        <v>6</v>
      </c>
    </row>
    <row r="7" spans="1:7" ht="39.950000000000003" customHeight="1" x14ac:dyDescent="0.15">
      <c r="A7" s="96" t="s">
        <v>7</v>
      </c>
      <c r="B7" s="96"/>
      <c r="C7" s="96" t="s">
        <v>8</v>
      </c>
      <c r="D7" s="96"/>
      <c r="F7" s="6" t="s">
        <v>9</v>
      </c>
      <c r="G7" s="1" t="s">
        <v>10</v>
      </c>
    </row>
    <row r="8" spans="1:7" ht="39.950000000000003" customHeight="1" x14ac:dyDescent="0.15">
      <c r="A8" s="96" t="s">
        <v>11</v>
      </c>
      <c r="B8" s="96"/>
      <c r="C8" s="96" t="s">
        <v>12</v>
      </c>
      <c r="D8" s="96"/>
      <c r="F8" s="6" t="s">
        <v>13</v>
      </c>
      <c r="G8" s="1" t="s">
        <v>14</v>
      </c>
    </row>
    <row r="9" spans="1:7" ht="39.950000000000003" customHeight="1" x14ac:dyDescent="0.15">
      <c r="A9" s="96" t="s">
        <v>15</v>
      </c>
      <c r="B9" s="96"/>
      <c r="C9" s="96" t="s">
        <v>16</v>
      </c>
      <c r="D9" s="96"/>
      <c r="F9" s="6" t="s">
        <v>17</v>
      </c>
      <c r="G9" s="1" t="s">
        <v>18</v>
      </c>
    </row>
    <row r="10" spans="1:7" ht="39.950000000000003" customHeight="1" x14ac:dyDescent="0.15">
      <c r="A10" s="96" t="s">
        <v>19</v>
      </c>
      <c r="B10" s="96"/>
      <c r="C10" s="96"/>
      <c r="D10" s="96"/>
      <c r="F10" s="6" t="s">
        <v>20</v>
      </c>
      <c r="G10" s="1" t="s">
        <v>21</v>
      </c>
    </row>
    <row r="11" spans="1:7" ht="39.950000000000003" customHeight="1" x14ac:dyDescent="0.15"/>
    <row r="12" spans="1:7" ht="20.100000000000001" customHeight="1" x14ac:dyDescent="0.15">
      <c r="A12" s="95" t="s">
        <v>22</v>
      </c>
      <c r="B12" s="95"/>
      <c r="C12" s="95"/>
      <c r="D12" s="95"/>
      <c r="E12" s="95"/>
      <c r="F12" s="95"/>
      <c r="G12" s="95"/>
    </row>
    <row r="13" spans="1:7" ht="20.100000000000001" customHeight="1" x14ac:dyDescent="0.15">
      <c r="A13" s="95" t="s">
        <v>23</v>
      </c>
      <c r="B13" s="95"/>
      <c r="C13" s="95"/>
      <c r="D13" s="95"/>
      <c r="E13" s="95"/>
      <c r="F13" s="95"/>
      <c r="G13" s="95"/>
    </row>
    <row r="14" spans="1:7" ht="20.100000000000001" customHeight="1" x14ac:dyDescent="0.15">
      <c r="A14" s="95" t="s">
        <v>24</v>
      </c>
      <c r="B14" s="95"/>
      <c r="C14" s="95"/>
      <c r="D14" s="95"/>
      <c r="E14" s="95"/>
      <c r="F14" s="95"/>
      <c r="G14" s="95"/>
    </row>
    <row r="15" spans="1:7" ht="20.100000000000001" customHeight="1" x14ac:dyDescent="0.15">
      <c r="A15" s="95" t="s">
        <v>25</v>
      </c>
      <c r="B15" s="95"/>
      <c r="C15" s="95"/>
      <c r="D15" s="95"/>
      <c r="E15" s="95"/>
      <c r="F15" s="95"/>
      <c r="G15" s="95"/>
    </row>
    <row r="16" spans="1:7" ht="20.100000000000001" customHeight="1" x14ac:dyDescent="0.15">
      <c r="A16" s="95" t="s">
        <v>26</v>
      </c>
      <c r="B16" s="95"/>
      <c r="C16" s="95"/>
      <c r="D16" s="95"/>
      <c r="E16" s="95"/>
      <c r="F16" s="95"/>
      <c r="G16" s="95"/>
    </row>
    <row r="17" spans="1:7" ht="20.100000000000001" customHeight="1" x14ac:dyDescent="0.15">
      <c r="A17" s="95" t="s">
        <v>27</v>
      </c>
      <c r="B17" s="95"/>
      <c r="C17" s="95"/>
      <c r="D17" s="95"/>
      <c r="E17" s="95"/>
      <c r="F17" s="95"/>
      <c r="G17" s="95"/>
    </row>
    <row r="18" spans="1:7" ht="20.100000000000001" customHeight="1" x14ac:dyDescent="0.15">
      <c r="A18" s="95" t="s">
        <v>28</v>
      </c>
      <c r="B18" s="95"/>
      <c r="C18" s="95"/>
      <c r="D18" s="95"/>
      <c r="E18" s="95"/>
      <c r="F18" s="95"/>
      <c r="G18" s="95"/>
    </row>
    <row r="19" spans="1:7" ht="20.100000000000001" customHeight="1" x14ac:dyDescent="0.15">
      <c r="A19" s="95" t="s">
        <v>29</v>
      </c>
      <c r="B19" s="95"/>
      <c r="C19" s="95"/>
      <c r="D19" s="95"/>
      <c r="E19" s="95"/>
      <c r="F19" s="95"/>
      <c r="G19" s="95"/>
    </row>
    <row r="20" spans="1:7" ht="20.100000000000001" customHeight="1" x14ac:dyDescent="0.15">
      <c r="A20" s="95" t="s">
        <v>30</v>
      </c>
      <c r="B20" s="95"/>
      <c r="C20" s="95"/>
      <c r="D20" s="95"/>
      <c r="E20" s="95"/>
      <c r="F20" s="95"/>
      <c r="G20" s="95"/>
    </row>
    <row r="21" spans="1:7" ht="20.100000000000001" customHeight="1" x14ac:dyDescent="0.15">
      <c r="A21" s="95" t="s">
        <v>31</v>
      </c>
      <c r="B21" s="95"/>
      <c r="C21" s="95"/>
      <c r="D21" s="95"/>
      <c r="E21" s="95"/>
      <c r="F21" s="95"/>
      <c r="G21" s="95"/>
    </row>
    <row r="22" spans="1:7" ht="20.100000000000001" customHeight="1" x14ac:dyDescent="0.15">
      <c r="A22" s="95" t="s">
        <v>32</v>
      </c>
      <c r="B22" s="95"/>
      <c r="C22" s="95"/>
      <c r="D22" s="95"/>
      <c r="E22" s="95"/>
      <c r="F22" s="95"/>
      <c r="G22" s="95"/>
    </row>
    <row r="23" spans="1:7" ht="20.100000000000001" customHeight="1" x14ac:dyDescent="0.15">
      <c r="A23" s="95" t="s">
        <v>33</v>
      </c>
      <c r="B23" s="95"/>
      <c r="C23" s="95"/>
      <c r="D23" s="95"/>
      <c r="E23" s="95"/>
      <c r="F23" s="95"/>
      <c r="G23" s="95"/>
    </row>
    <row r="24" spans="1:7" ht="20.100000000000001" customHeight="1" x14ac:dyDescent="0.15">
      <c r="A24" s="95" t="s">
        <v>34</v>
      </c>
      <c r="B24" s="95"/>
      <c r="C24" s="95"/>
      <c r="D24" s="95"/>
      <c r="E24" s="95"/>
      <c r="F24" s="95"/>
      <c r="G24" s="95"/>
    </row>
    <row r="25" spans="1:7" ht="20.100000000000001" customHeight="1" x14ac:dyDescent="0.15">
      <c r="A25" s="95" t="s">
        <v>35</v>
      </c>
      <c r="B25" s="95"/>
      <c r="C25" s="95"/>
      <c r="D25" s="95"/>
      <c r="E25" s="95"/>
      <c r="F25" s="95"/>
      <c r="G25" s="95"/>
    </row>
    <row r="26" spans="1:7" ht="20.100000000000001" customHeight="1" x14ac:dyDescent="0.15">
      <c r="A26" s="95" t="s">
        <v>36</v>
      </c>
      <c r="B26" s="95"/>
      <c r="C26" s="95"/>
      <c r="D26" s="95"/>
      <c r="E26" s="95"/>
      <c r="F26" s="95"/>
      <c r="G26" s="95"/>
    </row>
    <row r="27" spans="1:7" ht="20.100000000000001" customHeight="1" x14ac:dyDescent="0.15">
      <c r="A27" s="95" t="s">
        <v>37</v>
      </c>
      <c r="B27" s="95"/>
      <c r="C27" s="95"/>
      <c r="D27" s="95"/>
      <c r="E27" s="95"/>
      <c r="F27" s="95"/>
      <c r="G27" s="95"/>
    </row>
    <row r="28" spans="1:7" ht="20.100000000000001" customHeight="1" x14ac:dyDescent="0.15">
      <c r="A28" s="95" t="s">
        <v>38</v>
      </c>
      <c r="B28" s="95"/>
      <c r="C28" s="95"/>
      <c r="D28" s="95"/>
      <c r="E28" s="95"/>
      <c r="F28" s="95"/>
      <c r="G28" s="95"/>
    </row>
    <row r="29" spans="1:7" ht="20.100000000000001" customHeight="1" x14ac:dyDescent="0.15">
      <c r="A29" s="95" t="s">
        <v>39</v>
      </c>
      <c r="B29" s="95"/>
      <c r="C29" s="95"/>
      <c r="D29" s="95"/>
      <c r="E29" s="95"/>
      <c r="F29" s="95"/>
      <c r="G29" s="95"/>
    </row>
    <row r="30" spans="1:7" ht="20.100000000000001" customHeight="1" x14ac:dyDescent="0.15">
      <c r="A30" s="95" t="s">
        <v>40</v>
      </c>
      <c r="B30" s="95"/>
      <c r="C30" s="95"/>
      <c r="D30" s="95"/>
      <c r="E30" s="95"/>
      <c r="F30" s="95"/>
      <c r="G30" s="95"/>
    </row>
    <row r="31" spans="1:7" ht="20.100000000000001" customHeight="1" x14ac:dyDescent="0.15">
      <c r="A31" s="95" t="s">
        <v>41</v>
      </c>
      <c r="B31" s="95"/>
      <c r="C31" s="95"/>
      <c r="D31" s="95"/>
      <c r="E31" s="95"/>
      <c r="F31" s="95"/>
      <c r="G31" s="95"/>
    </row>
    <row r="32" spans="1:7" ht="20.100000000000001" customHeight="1" x14ac:dyDescent="0.15"/>
    <row r="33" spans="1:4" ht="39.950000000000003" customHeight="1" x14ac:dyDescent="0.15">
      <c r="A33" s="5" t="s">
        <v>42</v>
      </c>
      <c r="B33" s="7"/>
      <c r="D33" s="7"/>
    </row>
    <row r="34" spans="1:4" ht="20.100000000000001" customHeight="1" x14ac:dyDescent="0.15">
      <c r="B34" s="6" t="s">
        <v>43</v>
      </c>
      <c r="D34" s="6" t="s">
        <v>44</v>
      </c>
    </row>
    <row r="35" spans="1:4" ht="39.950000000000003" customHeight="1" x14ac:dyDescent="0.15">
      <c r="A35" s="5" t="s">
        <v>45</v>
      </c>
      <c r="B35" s="7"/>
      <c r="D35" s="7"/>
    </row>
    <row r="36" spans="1:4" ht="20.100000000000001" customHeight="1" x14ac:dyDescent="0.15">
      <c r="B36" s="6" t="s">
        <v>43</v>
      </c>
      <c r="D36" s="6" t="s">
        <v>46</v>
      </c>
    </row>
    <row r="37" spans="1:4" ht="20.100000000000001" customHeight="1" x14ac:dyDescent="0.15">
      <c r="A37" s="96" t="s">
        <v>47</v>
      </c>
      <c r="B37" s="96"/>
    </row>
  </sheetData>
  <mergeCells count="33">
    <mergeCell ref="A2:G2"/>
    <mergeCell ref="A3:G3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23:G23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30:G30"/>
    <mergeCell ref="A31:G31"/>
    <mergeCell ref="A37:B37"/>
    <mergeCell ref="A24:G24"/>
    <mergeCell ref="A25:G25"/>
    <mergeCell ref="A26:G26"/>
    <mergeCell ref="A27:G27"/>
    <mergeCell ref="A28:G28"/>
    <mergeCell ref="A29:G29"/>
  </mergeCells>
  <pageMargins left="0.39370078740157483" right="0.39370078740157483" top="0.39370078740157483" bottom="0.39370078740157483" header="0" footer="0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R28"/>
  <sheetViews>
    <sheetView tabSelected="1" zoomScale="50" zoomScaleNormal="50" workbookViewId="0">
      <selection activeCell="K21" sqref="K21:L21"/>
    </sheetView>
  </sheetViews>
  <sheetFormatPr defaultRowHeight="18" x14ac:dyDescent="0.15"/>
  <cols>
    <col min="1" max="1" width="56.7109375" style="13" customWidth="1"/>
    <col min="2" max="2" width="14.28515625" style="13" customWidth="1"/>
    <col min="3" max="3" width="35.5703125" style="13" customWidth="1"/>
    <col min="4" max="4" width="37.28515625" style="13" customWidth="1"/>
    <col min="5" max="5" width="36" style="13" customWidth="1"/>
    <col min="6" max="6" width="15.85546875" style="13" customWidth="1"/>
    <col min="7" max="7" width="31.140625" style="13" customWidth="1"/>
    <col min="8" max="8" width="29.5703125" style="13" customWidth="1"/>
    <col min="9" max="9" width="17.7109375" style="13" customWidth="1"/>
    <col min="10" max="10" width="24.85546875" style="13" customWidth="1"/>
    <col min="11" max="11" width="36.140625" style="13" customWidth="1"/>
    <col min="12" max="12" width="31" style="13" customWidth="1"/>
    <col min="13" max="13" width="16.85546875" style="13" customWidth="1"/>
    <col min="14" max="14" width="22.140625" style="13" customWidth="1"/>
    <col min="15" max="15" width="24.85546875" style="13" customWidth="1"/>
    <col min="16" max="16" width="27.85546875" style="13" customWidth="1"/>
    <col min="17" max="17" width="23.28515625" style="13" customWidth="1"/>
    <col min="18" max="18" width="22.7109375" style="13" customWidth="1"/>
    <col min="19" max="16384" width="9.140625" style="13"/>
  </cols>
  <sheetData>
    <row r="1" spans="1:18" ht="50.1" customHeight="1" x14ac:dyDescent="0.15">
      <c r="A1" s="116" t="s">
        <v>411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8" ht="72" customHeight="1" x14ac:dyDescent="0.15">
      <c r="A2" s="115" t="s">
        <v>412</v>
      </c>
      <c r="B2" s="115" t="s">
        <v>54</v>
      </c>
      <c r="C2" s="115" t="s">
        <v>413</v>
      </c>
      <c r="D2" s="115"/>
      <c r="E2" s="115"/>
      <c r="F2" s="115"/>
      <c r="G2" s="115"/>
      <c r="H2" s="115"/>
      <c r="I2" s="115" t="s">
        <v>414</v>
      </c>
      <c r="J2" s="115"/>
      <c r="K2" s="115" t="s">
        <v>415</v>
      </c>
      <c r="L2" s="115"/>
      <c r="M2" s="115"/>
      <c r="N2" s="115"/>
      <c r="O2" s="115"/>
      <c r="P2" s="115"/>
    </row>
    <row r="3" spans="1:18" ht="30" customHeight="1" x14ac:dyDescent="0.15">
      <c r="A3" s="115"/>
      <c r="B3" s="115"/>
      <c r="C3" s="115" t="s">
        <v>216</v>
      </c>
      <c r="D3" s="115" t="s">
        <v>295</v>
      </c>
      <c r="E3" s="115"/>
      <c r="F3" s="115"/>
      <c r="G3" s="115"/>
      <c r="H3" s="115"/>
      <c r="I3" s="115" t="s">
        <v>295</v>
      </c>
      <c r="J3" s="115"/>
      <c r="K3" s="115" t="s">
        <v>295</v>
      </c>
      <c r="L3" s="115"/>
      <c r="M3" s="115"/>
      <c r="N3" s="115"/>
      <c r="O3" s="115"/>
      <c r="P3" s="115"/>
    </row>
    <row r="4" spans="1:18" ht="30" customHeight="1" x14ac:dyDescent="0.15">
      <c r="A4" s="115"/>
      <c r="B4" s="115"/>
      <c r="C4" s="115"/>
      <c r="D4" s="115" t="s">
        <v>394</v>
      </c>
      <c r="E4" s="115"/>
      <c r="F4" s="115"/>
      <c r="G4" s="115" t="s">
        <v>416</v>
      </c>
      <c r="H4" s="115" t="s">
        <v>396</v>
      </c>
      <c r="I4" s="115" t="s">
        <v>417</v>
      </c>
      <c r="J4" s="115" t="s">
        <v>418</v>
      </c>
      <c r="K4" s="115" t="s">
        <v>394</v>
      </c>
      <c r="L4" s="115"/>
      <c r="M4" s="115"/>
      <c r="N4" s="115"/>
      <c r="O4" s="115"/>
      <c r="P4" s="115"/>
    </row>
    <row r="5" spans="1:18" ht="30" customHeight="1" x14ac:dyDescent="0.15">
      <c r="A5" s="115"/>
      <c r="B5" s="115"/>
      <c r="C5" s="115"/>
      <c r="D5" s="115" t="s">
        <v>216</v>
      </c>
      <c r="E5" s="115" t="s">
        <v>419</v>
      </c>
      <c r="F5" s="115"/>
      <c r="G5" s="115"/>
      <c r="H5" s="115"/>
      <c r="I5" s="115"/>
      <c r="J5" s="115"/>
      <c r="K5" s="115" t="s">
        <v>140</v>
      </c>
      <c r="L5" s="115" t="s">
        <v>142</v>
      </c>
      <c r="M5" s="115" t="s">
        <v>143</v>
      </c>
      <c r="N5" s="115"/>
      <c r="O5" s="115" t="s">
        <v>144</v>
      </c>
      <c r="P5" s="115" t="s">
        <v>420</v>
      </c>
    </row>
    <row r="6" spans="1:18" ht="30" customHeight="1" x14ac:dyDescent="0.15">
      <c r="A6" s="115"/>
      <c r="B6" s="115"/>
      <c r="C6" s="115"/>
      <c r="D6" s="115"/>
      <c r="E6" s="115" t="s">
        <v>421</v>
      </c>
      <c r="F6" s="115" t="s">
        <v>422</v>
      </c>
      <c r="G6" s="115"/>
      <c r="H6" s="115"/>
      <c r="I6" s="115"/>
      <c r="J6" s="115"/>
      <c r="K6" s="115"/>
      <c r="L6" s="115"/>
      <c r="M6" s="115" t="s">
        <v>295</v>
      </c>
      <c r="N6" s="115"/>
      <c r="O6" s="115"/>
      <c r="P6" s="115"/>
    </row>
    <row r="7" spans="1:18" ht="99.75" customHeight="1" x14ac:dyDescent="0.1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4" t="s">
        <v>147</v>
      </c>
      <c r="N7" s="14" t="s">
        <v>148</v>
      </c>
      <c r="O7" s="115"/>
      <c r="P7" s="115"/>
    </row>
    <row r="8" spans="1:18" ht="19.5" customHeight="1" x14ac:dyDescent="0.15">
      <c r="A8" s="14" t="s">
        <v>60</v>
      </c>
      <c r="B8" s="14" t="s">
        <v>61</v>
      </c>
      <c r="C8" s="14" t="s">
        <v>62</v>
      </c>
      <c r="D8" s="14" t="s">
        <v>63</v>
      </c>
      <c r="E8" s="14" t="s">
        <v>64</v>
      </c>
      <c r="F8" s="14" t="s">
        <v>65</v>
      </c>
      <c r="G8" s="14" t="s">
        <v>151</v>
      </c>
      <c r="H8" s="14" t="s">
        <v>152</v>
      </c>
      <c r="I8" s="14" t="s">
        <v>153</v>
      </c>
      <c r="J8" s="14" t="s">
        <v>154</v>
      </c>
      <c r="K8" s="14" t="s">
        <v>155</v>
      </c>
      <c r="L8" s="14" t="s">
        <v>156</v>
      </c>
      <c r="M8" s="14" t="s">
        <v>157</v>
      </c>
      <c r="N8" s="14" t="s">
        <v>158</v>
      </c>
      <c r="O8" s="14" t="s">
        <v>159</v>
      </c>
      <c r="P8" s="14" t="s">
        <v>160</v>
      </c>
    </row>
    <row r="9" spans="1:18" ht="43.5" customHeight="1" x14ac:dyDescent="0.15">
      <c r="A9" s="24" t="s">
        <v>423</v>
      </c>
      <c r="B9" s="14" t="s">
        <v>121</v>
      </c>
      <c r="C9" s="83">
        <f>D9+G9+H9</f>
        <v>16331170</v>
      </c>
      <c r="D9" s="83">
        <f>E9</f>
        <v>15588220</v>
      </c>
      <c r="E9" s="83">
        <f>E11+E12+E13+E14+E15</f>
        <v>15588220</v>
      </c>
      <c r="F9" s="19">
        <v>0</v>
      </c>
      <c r="G9" s="83">
        <v>615120</v>
      </c>
      <c r="H9" s="83">
        <v>127830</v>
      </c>
      <c r="I9" s="19">
        <v>0</v>
      </c>
      <c r="J9" s="19">
        <v>0</v>
      </c>
      <c r="K9" s="83">
        <f>14626550+127830</f>
        <v>14754380</v>
      </c>
      <c r="L9" s="83">
        <v>574730</v>
      </c>
      <c r="M9" s="19">
        <v>0</v>
      </c>
      <c r="N9" s="19">
        <v>0</v>
      </c>
      <c r="O9" s="19">
        <v>0</v>
      </c>
      <c r="P9" s="83">
        <v>259110</v>
      </c>
      <c r="Q9" s="82"/>
      <c r="R9" s="82"/>
    </row>
    <row r="10" spans="1:18" ht="43.5" customHeight="1" x14ac:dyDescent="0.15">
      <c r="A10" s="15" t="s">
        <v>146</v>
      </c>
      <c r="B10" s="14" t="s">
        <v>123</v>
      </c>
      <c r="C10" s="26"/>
      <c r="D10" s="26"/>
      <c r="E10" s="26"/>
      <c r="F10" s="14"/>
      <c r="G10" s="26"/>
      <c r="H10" s="26"/>
      <c r="I10" s="14"/>
      <c r="J10" s="14"/>
      <c r="K10" s="26"/>
      <c r="L10" s="26"/>
      <c r="M10" s="14"/>
      <c r="N10" s="14"/>
      <c r="O10" s="14"/>
      <c r="P10" s="26"/>
      <c r="Q10" s="82"/>
      <c r="R10" s="82"/>
    </row>
    <row r="11" spans="1:18" ht="43.5" customHeight="1" x14ac:dyDescent="0.15">
      <c r="A11" s="15" t="s">
        <v>402</v>
      </c>
      <c r="B11" s="14"/>
      <c r="C11" s="27">
        <f t="shared" ref="C11:C16" si="0">D11+G11+H11</f>
        <v>2341740</v>
      </c>
      <c r="D11" s="27">
        <f>K11+L11+P11</f>
        <v>2341740</v>
      </c>
      <c r="E11" s="27">
        <f>D11</f>
        <v>2341740</v>
      </c>
      <c r="F11" s="16">
        <v>0</v>
      </c>
      <c r="G11" s="27">
        <v>0</v>
      </c>
      <c r="H11" s="27">
        <v>0</v>
      </c>
      <c r="I11" s="16">
        <v>0</v>
      </c>
      <c r="J11" s="16">
        <v>0</v>
      </c>
      <c r="K11" s="27">
        <v>2341740</v>
      </c>
      <c r="L11" s="27">
        <v>0</v>
      </c>
      <c r="M11" s="16">
        <v>0</v>
      </c>
      <c r="N11" s="16">
        <v>0</v>
      </c>
      <c r="O11" s="16">
        <v>0</v>
      </c>
      <c r="P11" s="27">
        <v>0</v>
      </c>
      <c r="Q11" s="82"/>
      <c r="R11" s="82"/>
    </row>
    <row r="12" spans="1:18" ht="43.5" customHeight="1" x14ac:dyDescent="0.15">
      <c r="A12" s="15" t="s">
        <v>403</v>
      </c>
      <c r="B12" s="14"/>
      <c r="C12" s="27">
        <f t="shared" si="0"/>
        <v>2063210</v>
      </c>
      <c r="D12" s="27">
        <f t="shared" ref="D12:D15" si="1">K12+L12+P12</f>
        <v>2063210</v>
      </c>
      <c r="E12" s="27">
        <f t="shared" ref="E12:E15" si="2">D12</f>
        <v>2063210</v>
      </c>
      <c r="F12" s="16">
        <v>0</v>
      </c>
      <c r="G12" s="27">
        <v>0</v>
      </c>
      <c r="H12" s="27">
        <v>0</v>
      </c>
      <c r="I12" s="16">
        <v>0</v>
      </c>
      <c r="J12" s="16">
        <v>0</v>
      </c>
      <c r="K12" s="130">
        <v>1979210</v>
      </c>
      <c r="L12" s="130">
        <v>45980</v>
      </c>
      <c r="M12" s="131">
        <v>0</v>
      </c>
      <c r="N12" s="131">
        <v>0</v>
      </c>
      <c r="O12" s="131">
        <v>0</v>
      </c>
      <c r="P12" s="130">
        <v>38020</v>
      </c>
      <c r="Q12" s="82"/>
      <c r="R12" s="82"/>
    </row>
    <row r="13" spans="1:18" ht="43.5" customHeight="1" x14ac:dyDescent="0.15">
      <c r="A13" s="15" t="s">
        <v>404</v>
      </c>
      <c r="B13" s="14"/>
      <c r="C13" s="27">
        <f>D13+G13+H13</f>
        <v>5227840</v>
      </c>
      <c r="D13" s="27">
        <f>K13+L13+P13</f>
        <v>4779570</v>
      </c>
      <c r="E13" s="27">
        <f t="shared" si="2"/>
        <v>4779570</v>
      </c>
      <c r="F13" s="16">
        <v>0</v>
      </c>
      <c r="G13" s="27">
        <v>425110</v>
      </c>
      <c r="H13" s="27">
        <v>23160</v>
      </c>
      <c r="I13" s="16">
        <v>0</v>
      </c>
      <c r="J13" s="16">
        <v>0</v>
      </c>
      <c r="K13" s="27">
        <f>4387620+23160</f>
        <v>4410780</v>
      </c>
      <c r="L13" s="27">
        <v>206900</v>
      </c>
      <c r="M13" s="16">
        <v>0</v>
      </c>
      <c r="N13" s="16">
        <v>0</v>
      </c>
      <c r="O13" s="16">
        <v>0</v>
      </c>
      <c r="P13" s="27">
        <v>161890</v>
      </c>
      <c r="Q13" s="82"/>
      <c r="R13" s="82"/>
    </row>
    <row r="14" spans="1:18" ht="43.5" customHeight="1" x14ac:dyDescent="0.15">
      <c r="A14" s="15" t="s">
        <v>405</v>
      </c>
      <c r="B14" s="14"/>
      <c r="C14" s="27">
        <f t="shared" si="0"/>
        <v>4619510</v>
      </c>
      <c r="D14" s="27">
        <f>K14+L14+P14</f>
        <v>4324830</v>
      </c>
      <c r="E14" s="27">
        <f t="shared" si="2"/>
        <v>4324830</v>
      </c>
      <c r="F14" s="16">
        <v>0</v>
      </c>
      <c r="G14" s="27">
        <v>190010</v>
      </c>
      <c r="H14" s="27">
        <v>104670</v>
      </c>
      <c r="I14" s="16">
        <v>0</v>
      </c>
      <c r="J14" s="16">
        <v>0</v>
      </c>
      <c r="K14" s="27">
        <f>3954060+104670</f>
        <v>4058730</v>
      </c>
      <c r="L14" s="27">
        <v>206900</v>
      </c>
      <c r="M14" s="16">
        <v>0</v>
      </c>
      <c r="N14" s="16">
        <v>0</v>
      </c>
      <c r="O14" s="16">
        <v>0</v>
      </c>
      <c r="P14" s="27">
        <v>59200</v>
      </c>
      <c r="Q14" s="82"/>
      <c r="R14" s="82"/>
    </row>
    <row r="15" spans="1:18" ht="43.5" customHeight="1" x14ac:dyDescent="0.15">
      <c r="A15" s="15" t="s">
        <v>406</v>
      </c>
      <c r="B15" s="14"/>
      <c r="C15" s="27">
        <f t="shared" si="0"/>
        <v>2078870</v>
      </c>
      <c r="D15" s="27">
        <f t="shared" si="1"/>
        <v>2078870</v>
      </c>
      <c r="E15" s="27">
        <f t="shared" si="2"/>
        <v>2078870</v>
      </c>
      <c r="F15" s="16">
        <v>0</v>
      </c>
      <c r="G15" s="27">
        <v>0</v>
      </c>
      <c r="H15" s="27">
        <v>0</v>
      </c>
      <c r="I15" s="16">
        <v>0</v>
      </c>
      <c r="J15" s="16">
        <v>0</v>
      </c>
      <c r="K15" s="27">
        <v>1963920</v>
      </c>
      <c r="L15" s="27">
        <v>114950</v>
      </c>
      <c r="M15" s="16">
        <v>0</v>
      </c>
      <c r="N15" s="16">
        <v>0</v>
      </c>
      <c r="O15" s="16">
        <v>0</v>
      </c>
      <c r="P15" s="27">
        <v>0</v>
      </c>
      <c r="Q15" s="82"/>
      <c r="R15" s="82"/>
    </row>
    <row r="16" spans="1:18" ht="43.5" customHeight="1" x14ac:dyDescent="0.15">
      <c r="A16" s="24" t="s">
        <v>408</v>
      </c>
      <c r="B16" s="14" t="s">
        <v>244</v>
      </c>
      <c r="C16" s="83">
        <f>D16+G16+H16</f>
        <v>6489023.6399999997</v>
      </c>
      <c r="D16" s="83">
        <f>E16</f>
        <v>5979963.6399999997</v>
      </c>
      <c r="E16" s="83">
        <f>E18</f>
        <v>5979963.6399999997</v>
      </c>
      <c r="F16" s="19">
        <v>0</v>
      </c>
      <c r="G16" s="83">
        <f>G18</f>
        <v>104010</v>
      </c>
      <c r="H16" s="83">
        <f>H18</f>
        <v>405050</v>
      </c>
      <c r="I16" s="19">
        <v>0</v>
      </c>
      <c r="J16" s="19">
        <v>0</v>
      </c>
      <c r="K16" s="83">
        <f>K18</f>
        <v>5135878.71</v>
      </c>
      <c r="L16" s="83">
        <f>L18</f>
        <v>742355</v>
      </c>
      <c r="M16" s="19">
        <v>0</v>
      </c>
      <c r="N16" s="19">
        <v>0</v>
      </c>
      <c r="O16" s="19">
        <v>0</v>
      </c>
      <c r="P16" s="83">
        <f>P18</f>
        <v>101729.93</v>
      </c>
      <c r="Q16" s="82"/>
      <c r="R16" s="82"/>
    </row>
    <row r="17" spans="1:18" ht="43.5" customHeight="1" x14ac:dyDescent="0.15">
      <c r="A17" s="15" t="s">
        <v>146</v>
      </c>
      <c r="B17" s="14" t="s">
        <v>246</v>
      </c>
      <c r="C17" s="26"/>
      <c r="D17" s="26"/>
      <c r="E17" s="26"/>
      <c r="F17" s="14"/>
      <c r="G17" s="26"/>
      <c r="H17" s="26"/>
      <c r="I17" s="14"/>
      <c r="J17" s="14"/>
      <c r="K17" s="26"/>
      <c r="L17" s="26"/>
      <c r="M17" s="14"/>
      <c r="N17" s="14"/>
      <c r="O17" s="14"/>
      <c r="P17" s="26"/>
      <c r="Q17" s="82"/>
      <c r="R17" s="82"/>
    </row>
    <row r="18" spans="1:18" ht="43.5" customHeight="1" x14ac:dyDescent="0.15">
      <c r="A18" s="15" t="s">
        <v>408</v>
      </c>
      <c r="B18" s="14"/>
      <c r="C18" s="27">
        <f>D18+G18+H18</f>
        <v>6489023.6399999997</v>
      </c>
      <c r="D18" s="27">
        <f>E18</f>
        <v>5979963.6399999997</v>
      </c>
      <c r="E18" s="27">
        <f>K18+L18+P18</f>
        <v>5979963.6399999997</v>
      </c>
      <c r="F18" s="16">
        <v>0</v>
      </c>
      <c r="G18" s="27">
        <f>615120-511110</f>
        <v>104010</v>
      </c>
      <c r="H18" s="27">
        <f>277220+127830</f>
        <v>405050</v>
      </c>
      <c r="I18" s="16">
        <v>0</v>
      </c>
      <c r="J18" s="16">
        <v>0</v>
      </c>
      <c r="K18" s="27">
        <f>5287420-534830+534830+1228297+1.71-26083.36-3-101743.64-532880-719130</f>
        <v>5135878.71</v>
      </c>
      <c r="L18" s="27">
        <f>155871.36+484740+101743.64</f>
        <v>742355</v>
      </c>
      <c r="M18" s="16">
        <v>0</v>
      </c>
      <c r="N18" s="16">
        <v>0</v>
      </c>
      <c r="O18" s="16">
        <v>0</v>
      </c>
      <c r="P18" s="27">
        <v>101729.93</v>
      </c>
      <c r="Q18" s="82"/>
      <c r="R18" s="82"/>
    </row>
    <row r="19" spans="1:18" ht="43.5" customHeight="1" x14ac:dyDescent="0.15">
      <c r="A19" s="24" t="s">
        <v>410</v>
      </c>
      <c r="B19" s="14" t="s">
        <v>309</v>
      </c>
      <c r="C19" s="83">
        <f>D19+G19+H19</f>
        <v>5870070</v>
      </c>
      <c r="D19" s="83">
        <v>5870070</v>
      </c>
      <c r="E19" s="83">
        <v>5870070</v>
      </c>
      <c r="F19" s="19">
        <v>0</v>
      </c>
      <c r="G19" s="83">
        <v>0</v>
      </c>
      <c r="H19" s="83">
        <v>0</v>
      </c>
      <c r="I19" s="19">
        <v>0</v>
      </c>
      <c r="J19" s="19">
        <v>0</v>
      </c>
      <c r="K19" s="83">
        <v>5338270</v>
      </c>
      <c r="L19" s="83">
        <v>531800</v>
      </c>
      <c r="M19" s="19">
        <v>0</v>
      </c>
      <c r="N19" s="19">
        <v>0</v>
      </c>
      <c r="O19" s="19">
        <v>0</v>
      </c>
      <c r="P19" s="83">
        <v>0</v>
      </c>
      <c r="Q19" s="82"/>
      <c r="R19" s="82"/>
    </row>
    <row r="20" spans="1:18" ht="43.5" customHeight="1" x14ac:dyDescent="0.15">
      <c r="A20" s="15" t="s">
        <v>146</v>
      </c>
      <c r="B20" s="14" t="s">
        <v>311</v>
      </c>
      <c r="C20" s="26"/>
      <c r="D20" s="26"/>
      <c r="E20" s="26"/>
      <c r="F20" s="14"/>
      <c r="G20" s="26"/>
      <c r="H20" s="26"/>
      <c r="I20" s="14"/>
      <c r="J20" s="14"/>
      <c r="K20" s="26"/>
      <c r="L20" s="26"/>
      <c r="M20" s="14"/>
      <c r="N20" s="14"/>
      <c r="O20" s="14"/>
      <c r="P20" s="26"/>
      <c r="Q20" s="82"/>
      <c r="R20" s="82"/>
    </row>
    <row r="21" spans="1:18" ht="43.5" customHeight="1" x14ac:dyDescent="0.15">
      <c r="A21" s="15" t="s">
        <v>410</v>
      </c>
      <c r="B21" s="14"/>
      <c r="C21" s="27">
        <f>D21+G21+H21</f>
        <v>5870070</v>
      </c>
      <c r="D21" s="27">
        <f>E21</f>
        <v>5870070</v>
      </c>
      <c r="E21" s="27">
        <f>E19</f>
        <v>5870070</v>
      </c>
      <c r="F21" s="16">
        <v>0</v>
      </c>
      <c r="G21" s="27">
        <v>0</v>
      </c>
      <c r="H21" s="27">
        <v>0</v>
      </c>
      <c r="I21" s="16">
        <v>0</v>
      </c>
      <c r="J21" s="16">
        <v>0</v>
      </c>
      <c r="K21" s="27">
        <v>5338270</v>
      </c>
      <c r="L21" s="132">
        <f>L19</f>
        <v>531800</v>
      </c>
      <c r="M21" s="16">
        <v>0</v>
      </c>
      <c r="N21" s="16">
        <v>0</v>
      </c>
      <c r="O21" s="16">
        <v>0</v>
      </c>
      <c r="P21" s="27">
        <v>0</v>
      </c>
      <c r="Q21" s="82"/>
      <c r="R21" s="82"/>
    </row>
    <row r="22" spans="1:18" ht="43.5" customHeight="1" x14ac:dyDescent="0.15">
      <c r="A22" s="17" t="s">
        <v>132</v>
      </c>
      <c r="B22" s="18" t="s">
        <v>133</v>
      </c>
      <c r="C22" s="83">
        <f>28588520+101743.64</f>
        <v>28690263.640000001</v>
      </c>
      <c r="D22" s="83">
        <v>27438253.640000001</v>
      </c>
      <c r="E22" s="83">
        <v>27438253.640000001</v>
      </c>
      <c r="F22" s="19">
        <f>VLOOKUP("1000",B:$Z,5,0) + VLOOKUP("2000",$B:$Z,5,0) + VLOOKUP("3000",$B:$Z,5,0)</f>
        <v>0</v>
      </c>
      <c r="G22" s="83">
        <f>VLOOKUP("1000",B:$Z,6,0) + VLOOKUP("2000",$B:$Z,6,0) + VLOOKUP("3000",$B:$Z,6,0)</f>
        <v>719130</v>
      </c>
      <c r="H22" s="83">
        <f>VLOOKUP("1000",B:$Z,7,0) + VLOOKUP("2000",$B:$Z,7,0) + VLOOKUP("3000",$B:$Z,7,0)</f>
        <v>532880</v>
      </c>
      <c r="I22" s="19">
        <f>VLOOKUP("1000",B:$Z,8,0) + VLOOKUP("2000",$B:$Z,8,0) + VLOOKUP("3000",$B:$Z,8,0)</f>
        <v>0</v>
      </c>
      <c r="J22" s="19">
        <f>VLOOKUP("1000",B:$Z,9,0) + VLOOKUP("2000",$B:$Z,9,0) + VLOOKUP("3000",$B:$Z,9,0)</f>
        <v>0</v>
      </c>
      <c r="K22" s="83">
        <v>25228528.710000001</v>
      </c>
      <c r="L22" s="133">
        <f>1591270+101743.64+155871.36</f>
        <v>1848885</v>
      </c>
      <c r="M22" s="19">
        <f>VLOOKUP("1000",B:$Z,12,0) + VLOOKUP("2000",$B:$Z,12,0) + VLOOKUP("3000",$B:$Z,12,0)</f>
        <v>0</v>
      </c>
      <c r="N22" s="19">
        <f>VLOOKUP("1000",B:$Z,13,0) + VLOOKUP("2000",$B:$Z,13,0) + VLOOKUP("3000",$B:$Z,13,0)</f>
        <v>0</v>
      </c>
      <c r="O22" s="19">
        <f>VLOOKUP("1000",B:$Z,14,0) + VLOOKUP("2000",$B:$Z,14,0) + VLOOKUP("3000",$B:$Z,14,0)</f>
        <v>0</v>
      </c>
      <c r="P22" s="83">
        <v>360839.93</v>
      </c>
      <c r="Q22" s="82"/>
      <c r="R22" s="82"/>
    </row>
    <row r="24" spans="1:18" x14ac:dyDescent="0.15">
      <c r="C24" s="82"/>
      <c r="E24" s="82"/>
      <c r="K24" s="82"/>
      <c r="L24" s="82"/>
    </row>
    <row r="25" spans="1:18" x14ac:dyDescent="0.15">
      <c r="C25" s="82"/>
      <c r="G25" s="82"/>
      <c r="H25" s="82"/>
      <c r="K25" s="82"/>
      <c r="L25" s="82"/>
      <c r="P25" s="82"/>
    </row>
    <row r="27" spans="1:18" x14ac:dyDescent="0.15">
      <c r="K27" s="82"/>
    </row>
    <row r="28" spans="1:18" x14ac:dyDescent="0.15">
      <c r="K28" s="82"/>
    </row>
  </sheetData>
  <mergeCells count="26">
    <mergeCell ref="A1:P1"/>
    <mergeCell ref="A2:A7"/>
    <mergeCell ref="B2:B7"/>
    <mergeCell ref="C2:H2"/>
    <mergeCell ref="I2:J2"/>
    <mergeCell ref="K2:P2"/>
    <mergeCell ref="C3:C7"/>
    <mergeCell ref="D3:H3"/>
    <mergeCell ref="I3:J3"/>
    <mergeCell ref="K3:P3"/>
    <mergeCell ref="D4:F4"/>
    <mergeCell ref="G4:G7"/>
    <mergeCell ref="H4:H7"/>
    <mergeCell ref="I4:I7"/>
    <mergeCell ref="J4:J7"/>
    <mergeCell ref="K4:P4"/>
    <mergeCell ref="D5:D7"/>
    <mergeCell ref="E5:F5"/>
    <mergeCell ref="K5:K7"/>
    <mergeCell ref="L5:L7"/>
    <mergeCell ref="M5:N5"/>
    <mergeCell ref="O5:O7"/>
    <mergeCell ref="P5:P7"/>
    <mergeCell ref="E6:E7"/>
    <mergeCell ref="F6:F7"/>
    <mergeCell ref="M6:N6"/>
  </mergeCells>
  <phoneticPr fontId="0" type="noConversion"/>
  <pageMargins left="0.4" right="0.4" top="0.4" bottom="0.4" header="0.1" footer="0.1"/>
  <pageSetup paperSize="9" scale="3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  <pageSetUpPr fitToPage="1"/>
  </sheetPr>
  <dimension ref="A1:N23"/>
  <sheetViews>
    <sheetView zoomScale="50" zoomScaleNormal="50" workbookViewId="0">
      <selection activeCell="C16" sqref="C16"/>
    </sheetView>
  </sheetViews>
  <sheetFormatPr defaultRowHeight="18" x14ac:dyDescent="0.15"/>
  <cols>
    <col min="1" max="1" width="66.85546875" style="13" customWidth="1"/>
    <col min="2" max="2" width="16.85546875" style="13" customWidth="1"/>
    <col min="3" max="3" width="29.7109375" style="13" customWidth="1"/>
    <col min="4" max="4" width="17.5703125" style="13" customWidth="1"/>
    <col min="5" max="5" width="18.42578125" style="13" customWidth="1"/>
    <col min="6" max="6" width="18" style="13" customWidth="1"/>
    <col min="7" max="7" width="18.140625" style="13" customWidth="1"/>
    <col min="8" max="8" width="19.7109375" style="13" customWidth="1"/>
    <col min="9" max="9" width="28.140625" style="13" customWidth="1"/>
    <col min="10" max="14" width="24.85546875" style="13" customWidth="1"/>
    <col min="15" max="16384" width="9.140625" style="13"/>
  </cols>
  <sheetData>
    <row r="1" spans="1:14" ht="30" customHeight="1" x14ac:dyDescent="0.15">
      <c r="A1" s="115" t="s">
        <v>412</v>
      </c>
      <c r="B1" s="115" t="s">
        <v>54</v>
      </c>
      <c r="C1" s="115" t="s">
        <v>415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30" customHeight="1" x14ac:dyDescent="0.15">
      <c r="A2" s="115"/>
      <c r="B2" s="115"/>
      <c r="C2" s="115" t="s">
        <v>295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30" customHeight="1" x14ac:dyDescent="0.15">
      <c r="A3" s="115"/>
      <c r="B3" s="115"/>
      <c r="C3" s="115" t="s">
        <v>416</v>
      </c>
      <c r="D3" s="115"/>
      <c r="E3" s="115"/>
      <c r="F3" s="115"/>
      <c r="G3" s="115"/>
      <c r="H3" s="115"/>
      <c r="I3" s="115" t="s">
        <v>396</v>
      </c>
      <c r="J3" s="115"/>
      <c r="K3" s="115"/>
      <c r="L3" s="115"/>
      <c r="M3" s="115"/>
      <c r="N3" s="115"/>
    </row>
    <row r="4" spans="1:14" ht="58.5" customHeight="1" x14ac:dyDescent="0.15">
      <c r="A4" s="115"/>
      <c r="B4" s="115"/>
      <c r="C4" s="115" t="s">
        <v>140</v>
      </c>
      <c r="D4" s="115" t="s">
        <v>142</v>
      </c>
      <c r="E4" s="115" t="s">
        <v>143</v>
      </c>
      <c r="F4" s="115"/>
      <c r="G4" s="115" t="s">
        <v>144</v>
      </c>
      <c r="H4" s="115" t="s">
        <v>420</v>
      </c>
      <c r="I4" s="115" t="s">
        <v>140</v>
      </c>
      <c r="J4" s="115" t="s">
        <v>142</v>
      </c>
      <c r="K4" s="115" t="s">
        <v>143</v>
      </c>
      <c r="L4" s="115"/>
      <c r="M4" s="115" t="s">
        <v>144</v>
      </c>
      <c r="N4" s="115" t="s">
        <v>420</v>
      </c>
    </row>
    <row r="5" spans="1:14" ht="30" customHeight="1" x14ac:dyDescent="0.15">
      <c r="A5" s="115"/>
      <c r="B5" s="115"/>
      <c r="C5" s="115"/>
      <c r="D5" s="115"/>
      <c r="E5" s="115" t="s">
        <v>295</v>
      </c>
      <c r="F5" s="115"/>
      <c r="G5" s="115"/>
      <c r="H5" s="115"/>
      <c r="I5" s="115"/>
      <c r="J5" s="115"/>
      <c r="K5" s="115" t="s">
        <v>295</v>
      </c>
      <c r="L5" s="115"/>
      <c r="M5" s="115"/>
      <c r="N5" s="115"/>
    </row>
    <row r="6" spans="1:14" ht="184.5" customHeight="1" x14ac:dyDescent="0.15">
      <c r="A6" s="115"/>
      <c r="B6" s="115"/>
      <c r="C6" s="115"/>
      <c r="D6" s="115"/>
      <c r="E6" s="14" t="s">
        <v>147</v>
      </c>
      <c r="F6" s="14" t="s">
        <v>148</v>
      </c>
      <c r="G6" s="115"/>
      <c r="H6" s="115"/>
      <c r="I6" s="115"/>
      <c r="J6" s="115"/>
      <c r="K6" s="14" t="s">
        <v>147</v>
      </c>
      <c r="L6" s="14" t="s">
        <v>148</v>
      </c>
      <c r="M6" s="115"/>
      <c r="N6" s="115"/>
    </row>
    <row r="7" spans="1:14" ht="20.100000000000001" customHeight="1" x14ac:dyDescent="0.15">
      <c r="A7" s="14" t="s">
        <v>60</v>
      </c>
      <c r="B7" s="14" t="s">
        <v>61</v>
      </c>
      <c r="C7" s="14" t="s">
        <v>161</v>
      </c>
      <c r="D7" s="14" t="s">
        <v>162</v>
      </c>
      <c r="E7" s="14" t="s">
        <v>163</v>
      </c>
      <c r="F7" s="14" t="s">
        <v>164</v>
      </c>
      <c r="G7" s="14" t="s">
        <v>424</v>
      </c>
      <c r="H7" s="14" t="s">
        <v>425</v>
      </c>
      <c r="I7" s="14" t="s">
        <v>426</v>
      </c>
      <c r="J7" s="14" t="s">
        <v>427</v>
      </c>
      <c r="K7" s="14" t="s">
        <v>428</v>
      </c>
      <c r="L7" s="14" t="s">
        <v>429</v>
      </c>
      <c r="M7" s="14" t="s">
        <v>430</v>
      </c>
      <c r="N7" s="14" t="s">
        <v>431</v>
      </c>
    </row>
    <row r="8" spans="1:14" ht="32.25" customHeight="1" x14ac:dyDescent="0.15">
      <c r="A8" s="24" t="s">
        <v>423</v>
      </c>
      <c r="B8" s="14" t="s">
        <v>121</v>
      </c>
      <c r="C8" s="83">
        <v>615120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83">
        <v>127830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</row>
    <row r="9" spans="1:14" ht="32.25" customHeight="1" x14ac:dyDescent="0.15">
      <c r="A9" s="15" t="s">
        <v>146</v>
      </c>
      <c r="B9" s="14" t="s">
        <v>123</v>
      </c>
      <c r="C9" s="26"/>
      <c r="D9" s="14"/>
      <c r="E9" s="14"/>
      <c r="F9" s="14"/>
      <c r="G9" s="14"/>
      <c r="H9" s="14"/>
      <c r="I9" s="26"/>
      <c r="J9" s="14"/>
      <c r="K9" s="14"/>
      <c r="L9" s="14"/>
      <c r="M9" s="14"/>
      <c r="N9" s="14"/>
    </row>
    <row r="10" spans="1:14" ht="32.25" customHeight="1" x14ac:dyDescent="0.15">
      <c r="A10" s="15" t="s">
        <v>402</v>
      </c>
      <c r="B10" s="14"/>
      <c r="C10" s="27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27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</row>
    <row r="11" spans="1:14" ht="32.25" customHeight="1" x14ac:dyDescent="0.15">
      <c r="A11" s="15" t="s">
        <v>403</v>
      </c>
      <c r="B11" s="14"/>
      <c r="C11" s="27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27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</row>
    <row r="12" spans="1:14" ht="32.25" customHeight="1" x14ac:dyDescent="0.15">
      <c r="A12" s="15" t="s">
        <v>404</v>
      </c>
      <c r="B12" s="14"/>
      <c r="C12" s="27">
        <v>425110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27">
        <v>23160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</row>
    <row r="13" spans="1:14" ht="32.25" customHeight="1" x14ac:dyDescent="0.15">
      <c r="A13" s="15" t="s">
        <v>405</v>
      </c>
      <c r="B13" s="14"/>
      <c r="C13" s="27">
        <v>190010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27">
        <v>104670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</row>
    <row r="14" spans="1:14" ht="32.25" customHeight="1" x14ac:dyDescent="0.15">
      <c r="A14" s="15" t="s">
        <v>406</v>
      </c>
      <c r="B14" s="14"/>
      <c r="C14" s="27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27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</row>
    <row r="15" spans="1:14" ht="32.25" customHeight="1" x14ac:dyDescent="0.15">
      <c r="A15" s="24" t="s">
        <v>408</v>
      </c>
      <c r="B15" s="14" t="s">
        <v>244</v>
      </c>
      <c r="C15" s="83">
        <f>C17</f>
        <v>104010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83">
        <f>I17</f>
        <v>405050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</row>
    <row r="16" spans="1:14" ht="32.25" customHeight="1" x14ac:dyDescent="0.15">
      <c r="A16" s="15" t="s">
        <v>146</v>
      </c>
      <c r="B16" s="14" t="s">
        <v>246</v>
      </c>
      <c r="C16" s="26"/>
      <c r="D16" s="14"/>
      <c r="E16" s="14"/>
      <c r="F16" s="14"/>
      <c r="G16" s="14"/>
      <c r="H16" s="14"/>
      <c r="I16" s="26"/>
      <c r="J16" s="14"/>
      <c r="K16" s="14"/>
      <c r="L16" s="14"/>
      <c r="M16" s="14"/>
      <c r="N16" s="14"/>
    </row>
    <row r="17" spans="1:14" ht="32.25" customHeight="1" x14ac:dyDescent="0.15">
      <c r="A17" s="15" t="s">
        <v>408</v>
      </c>
      <c r="B17" s="14"/>
      <c r="C17" s="27">
        <f>615120-511110</f>
        <v>104010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27">
        <f>127830+277220</f>
        <v>405050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4" ht="32.25" customHeight="1" x14ac:dyDescent="0.15">
      <c r="A18" s="24" t="s">
        <v>410</v>
      </c>
      <c r="B18" s="14" t="s">
        <v>309</v>
      </c>
      <c r="C18" s="83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83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ht="32.25" customHeight="1" x14ac:dyDescent="0.15">
      <c r="A19" s="15" t="s">
        <v>146</v>
      </c>
      <c r="B19" s="14" t="s">
        <v>311</v>
      </c>
      <c r="C19" s="26"/>
      <c r="D19" s="14"/>
      <c r="E19" s="14"/>
      <c r="F19" s="14"/>
      <c r="G19" s="14"/>
      <c r="H19" s="14"/>
      <c r="I19" s="26"/>
      <c r="J19" s="14"/>
      <c r="K19" s="14"/>
      <c r="L19" s="14"/>
      <c r="M19" s="14"/>
      <c r="N19" s="14"/>
    </row>
    <row r="20" spans="1:14" ht="32.25" customHeight="1" x14ac:dyDescent="0.15">
      <c r="A20" s="15" t="s">
        <v>410</v>
      </c>
      <c r="B20" s="14"/>
      <c r="C20" s="27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27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</row>
    <row r="21" spans="1:14" ht="32.25" customHeight="1" x14ac:dyDescent="0.15">
      <c r="A21" s="17" t="s">
        <v>132</v>
      </c>
      <c r="B21" s="18" t="s">
        <v>133</v>
      </c>
      <c r="C21" s="83">
        <f>VLOOKUP("1000",B:$Z,2,0) + VLOOKUP("2000",$B:$Z,2,0) + VLOOKUP("3000",$B:$Z,2,0)</f>
        <v>719130</v>
      </c>
      <c r="D21" s="19">
        <f>VLOOKUP("1000",B:$Z,3,0) + VLOOKUP("2000",$B:$Z,3,0) + VLOOKUP("3000",$B:$Z,3,0)</f>
        <v>0</v>
      </c>
      <c r="E21" s="19">
        <f>VLOOKUP("1000",B:$Z,4,0) + VLOOKUP("2000",$B:$Z,4,0) + VLOOKUP("3000",$B:$Z,4,0)</f>
        <v>0</v>
      </c>
      <c r="F21" s="19">
        <f>VLOOKUP("1000",B:$Z,5,0) + VLOOKUP("2000",$B:$Z,5,0) + VLOOKUP("3000",$B:$Z,5,0)</f>
        <v>0</v>
      </c>
      <c r="G21" s="19">
        <f>VLOOKUP("1000",B:$Z,6,0) + VLOOKUP("2000",$B:$Z,6,0) + VLOOKUP("3000",$B:$Z,6,0)</f>
        <v>0</v>
      </c>
      <c r="H21" s="19">
        <f>VLOOKUP("1000",B:$Z,7,0) + VLOOKUP("2000",$B:$Z,7,0) + VLOOKUP("3000",$B:$Z,7,0)</f>
        <v>0</v>
      </c>
      <c r="I21" s="83">
        <f>VLOOKUP("1000",B:$Z,8,0) + VLOOKUP("2000",$B:$Z,8,0) + VLOOKUP("3000",$B:$Z,8,0)</f>
        <v>532880</v>
      </c>
      <c r="J21" s="19">
        <f>VLOOKUP("1000",B:$Z,9,0) + VLOOKUP("2000",$B:$Z,9,0) + VLOOKUP("3000",$B:$Z,9,0)</f>
        <v>0</v>
      </c>
      <c r="K21" s="19">
        <f>VLOOKUP("1000",B:$Z,10,0) + VLOOKUP("2000",$B:$Z,10,0) + VLOOKUP("3000",$B:$Z,10,0)</f>
        <v>0</v>
      </c>
      <c r="L21" s="19">
        <f>VLOOKUP("1000",B:$Z,11,0) + VLOOKUP("2000",$B:$Z,11,0) + VLOOKUP("3000",$B:$Z,11,0)</f>
        <v>0</v>
      </c>
      <c r="M21" s="19">
        <f>VLOOKUP("1000",B:$Z,12,0) + VLOOKUP("2000",$B:$Z,12,0) + VLOOKUP("3000",$B:$Z,12,0)</f>
        <v>0</v>
      </c>
      <c r="N21" s="19">
        <f>VLOOKUP("1000",B:$Z,13,0) + VLOOKUP("2000",$B:$Z,13,0) + VLOOKUP("3000",$B:$Z,13,0)</f>
        <v>0</v>
      </c>
    </row>
    <row r="23" spans="1:14" x14ac:dyDescent="0.15">
      <c r="C23" s="82"/>
      <c r="I23" s="82"/>
    </row>
  </sheetData>
  <mergeCells count="18">
    <mergeCell ref="A1:A6"/>
    <mergeCell ref="B1:B6"/>
    <mergeCell ref="C1:N1"/>
    <mergeCell ref="C2:N2"/>
    <mergeCell ref="C3:H3"/>
    <mergeCell ref="I3:N3"/>
    <mergeCell ref="C4:C6"/>
    <mergeCell ref="D4:D6"/>
    <mergeCell ref="E4:F4"/>
    <mergeCell ref="G4:G6"/>
    <mergeCell ref="H4:H6"/>
    <mergeCell ref="I4:I6"/>
    <mergeCell ref="J4:J6"/>
    <mergeCell ref="K4:L4"/>
    <mergeCell ref="M4:M6"/>
    <mergeCell ref="N4:N6"/>
    <mergeCell ref="E5:F5"/>
    <mergeCell ref="K5:L5"/>
  </mergeCells>
  <phoneticPr fontId="0" type="noConversion"/>
  <pageMargins left="0.4" right="0.4" top="0.4" bottom="0.4" header="0.1" footer="0.1"/>
  <pageSetup paperSize="9" scale="4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27"/>
  <sheetViews>
    <sheetView zoomScale="60" zoomScaleNormal="60" workbookViewId="0">
      <selection activeCell="B1" sqref="B1:B6"/>
    </sheetView>
  </sheetViews>
  <sheetFormatPr defaultRowHeight="18" x14ac:dyDescent="0.15"/>
  <cols>
    <col min="1" max="1" width="66.85546875" style="13" customWidth="1"/>
    <col min="2" max="14" width="24.85546875" style="13" customWidth="1"/>
    <col min="15" max="16384" width="9.140625" style="13"/>
  </cols>
  <sheetData>
    <row r="1" spans="1:14" ht="30" customHeight="1" x14ac:dyDescent="0.15">
      <c r="A1" s="115" t="s">
        <v>412</v>
      </c>
      <c r="B1" s="115" t="s">
        <v>54</v>
      </c>
      <c r="C1" s="115" t="s">
        <v>415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30" customHeight="1" x14ac:dyDescent="0.15">
      <c r="A2" s="115"/>
      <c r="B2" s="115"/>
      <c r="C2" s="115" t="s">
        <v>295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30" customHeight="1" x14ac:dyDescent="0.15">
      <c r="A3" s="115"/>
      <c r="B3" s="115"/>
      <c r="C3" s="115" t="s">
        <v>432</v>
      </c>
      <c r="D3" s="115"/>
      <c r="E3" s="115"/>
      <c r="F3" s="115"/>
      <c r="G3" s="115"/>
      <c r="H3" s="115"/>
      <c r="I3" s="115" t="s">
        <v>433</v>
      </c>
      <c r="J3" s="115"/>
      <c r="K3" s="115"/>
      <c r="L3" s="115"/>
      <c r="M3" s="115"/>
      <c r="N3" s="115"/>
    </row>
    <row r="4" spans="1:14" ht="30" customHeight="1" x14ac:dyDescent="0.15">
      <c r="A4" s="115"/>
      <c r="B4" s="115"/>
      <c r="C4" s="115" t="s">
        <v>140</v>
      </c>
      <c r="D4" s="115" t="s">
        <v>142</v>
      </c>
      <c r="E4" s="115" t="s">
        <v>143</v>
      </c>
      <c r="F4" s="115"/>
      <c r="G4" s="115" t="s">
        <v>144</v>
      </c>
      <c r="H4" s="115" t="s">
        <v>420</v>
      </c>
      <c r="I4" s="115" t="s">
        <v>140</v>
      </c>
      <c r="J4" s="115" t="s">
        <v>142</v>
      </c>
      <c r="K4" s="115" t="s">
        <v>143</v>
      </c>
      <c r="L4" s="115"/>
      <c r="M4" s="115" t="s">
        <v>144</v>
      </c>
      <c r="N4" s="115" t="s">
        <v>420</v>
      </c>
    </row>
    <row r="5" spans="1:14" ht="30" customHeight="1" x14ac:dyDescent="0.15">
      <c r="A5" s="115"/>
      <c r="B5" s="115"/>
      <c r="C5" s="115"/>
      <c r="D5" s="115"/>
      <c r="E5" s="115" t="s">
        <v>295</v>
      </c>
      <c r="F5" s="115"/>
      <c r="G5" s="115"/>
      <c r="H5" s="115"/>
      <c r="I5" s="115"/>
      <c r="J5" s="115"/>
      <c r="K5" s="115" t="s">
        <v>295</v>
      </c>
      <c r="L5" s="115"/>
      <c r="M5" s="115"/>
      <c r="N5" s="115"/>
    </row>
    <row r="6" spans="1:14" ht="30" customHeight="1" x14ac:dyDescent="0.15">
      <c r="A6" s="115"/>
      <c r="B6" s="115"/>
      <c r="C6" s="115"/>
      <c r="D6" s="115"/>
      <c r="E6" s="14" t="s">
        <v>147</v>
      </c>
      <c r="F6" s="14" t="s">
        <v>148</v>
      </c>
      <c r="G6" s="115"/>
      <c r="H6" s="115"/>
      <c r="I6" s="115"/>
      <c r="J6" s="115"/>
      <c r="K6" s="14" t="s">
        <v>147</v>
      </c>
      <c r="L6" s="14" t="s">
        <v>148</v>
      </c>
      <c r="M6" s="115"/>
      <c r="N6" s="115"/>
    </row>
    <row r="7" spans="1:14" ht="20.100000000000001" customHeight="1" x14ac:dyDescent="0.15">
      <c r="A7" s="14" t="s">
        <v>60</v>
      </c>
      <c r="B7" s="14" t="s">
        <v>61</v>
      </c>
      <c r="C7" s="14" t="s">
        <v>434</v>
      </c>
      <c r="D7" s="14" t="s">
        <v>435</v>
      </c>
      <c r="E7" s="14" t="s">
        <v>436</v>
      </c>
      <c r="F7" s="14" t="s">
        <v>437</v>
      </c>
      <c r="G7" s="14" t="s">
        <v>438</v>
      </c>
      <c r="H7" s="14" t="s">
        <v>439</v>
      </c>
      <c r="I7" s="14" t="s">
        <v>440</v>
      </c>
      <c r="J7" s="14" t="s">
        <v>441</v>
      </c>
      <c r="K7" s="14" t="s">
        <v>442</v>
      </c>
      <c r="L7" s="14" t="s">
        <v>443</v>
      </c>
      <c r="M7" s="14" t="s">
        <v>444</v>
      </c>
      <c r="N7" s="14" t="s">
        <v>445</v>
      </c>
    </row>
    <row r="8" spans="1:14" ht="20.100000000000001" customHeight="1" x14ac:dyDescent="0.15">
      <c r="A8" s="24" t="s">
        <v>423</v>
      </c>
      <c r="B8" s="14" t="s">
        <v>121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</row>
    <row r="9" spans="1:14" ht="20.100000000000001" customHeight="1" x14ac:dyDescent="0.15">
      <c r="A9" s="15" t="s">
        <v>146</v>
      </c>
      <c r="B9" s="14" t="s">
        <v>123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21.95" customHeight="1" x14ac:dyDescent="0.15">
      <c r="A10" s="15" t="s">
        <v>402</v>
      </c>
      <c r="B10" s="14"/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</row>
    <row r="11" spans="1:14" ht="21.95" customHeight="1" x14ac:dyDescent="0.15">
      <c r="A11" s="15" t="s">
        <v>403</v>
      </c>
      <c r="B11" s="14"/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</row>
    <row r="12" spans="1:14" ht="21.95" customHeight="1" x14ac:dyDescent="0.15">
      <c r="A12" s="15" t="s">
        <v>404</v>
      </c>
      <c r="B12" s="14"/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</row>
    <row r="13" spans="1:14" ht="21.95" customHeight="1" x14ac:dyDescent="0.15">
      <c r="A13" s="15" t="s">
        <v>405</v>
      </c>
      <c r="B13" s="14"/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</row>
    <row r="14" spans="1:14" ht="21.95" customHeight="1" x14ac:dyDescent="0.15">
      <c r="A14" s="15" t="s">
        <v>406</v>
      </c>
      <c r="B14" s="14"/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</row>
    <row r="15" spans="1:14" ht="20.100000000000001" customHeight="1" x14ac:dyDescent="0.15">
      <c r="A15" s="24" t="s">
        <v>408</v>
      </c>
      <c r="B15" s="14" t="s">
        <v>244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</row>
    <row r="16" spans="1:14" ht="20.100000000000001" customHeight="1" x14ac:dyDescent="0.15">
      <c r="A16" s="15" t="s">
        <v>146</v>
      </c>
      <c r="B16" s="14" t="s">
        <v>246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21.95" customHeight="1" x14ac:dyDescent="0.15">
      <c r="A17" s="15" t="s">
        <v>408</v>
      </c>
      <c r="B17" s="14"/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4" ht="33" customHeight="1" x14ac:dyDescent="0.15">
      <c r="A18" s="24" t="s">
        <v>410</v>
      </c>
      <c r="B18" s="14" t="s">
        <v>309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ht="20.100000000000001" customHeight="1" x14ac:dyDescent="0.15">
      <c r="A19" s="15" t="s">
        <v>146</v>
      </c>
      <c r="B19" s="14" t="s">
        <v>311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21.95" customHeight="1" x14ac:dyDescent="0.15">
      <c r="A20" s="15" t="s">
        <v>410</v>
      </c>
      <c r="B20" s="14"/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</row>
    <row r="21" spans="1:14" ht="20.100000000000001" customHeight="1" x14ac:dyDescent="0.15">
      <c r="A21" s="17" t="s">
        <v>132</v>
      </c>
      <c r="B21" s="18" t="s">
        <v>133</v>
      </c>
      <c r="C21" s="19">
        <f>VLOOKUP("1000",B:$Z,2,0) + VLOOKUP("2000",$B:$Z,2,0) + VLOOKUP("3000",$B:$Z,2,0)</f>
        <v>0</v>
      </c>
      <c r="D21" s="19">
        <f>VLOOKUP("1000",B:$Z,3,0) + VLOOKUP("2000",$B:$Z,3,0) + VLOOKUP("3000",$B:$Z,3,0)</f>
        <v>0</v>
      </c>
      <c r="E21" s="19">
        <f>VLOOKUP("1000",B:$Z,4,0) + VLOOKUP("2000",$B:$Z,4,0) + VLOOKUP("3000",$B:$Z,4,0)</f>
        <v>0</v>
      </c>
      <c r="F21" s="19">
        <f>VLOOKUP("1000",B:$Z,5,0) + VLOOKUP("2000",$B:$Z,5,0) + VLOOKUP("3000",$B:$Z,5,0)</f>
        <v>0</v>
      </c>
      <c r="G21" s="19">
        <f>VLOOKUP("1000",B:$Z,6,0) + VLOOKUP("2000",$B:$Z,6,0) + VLOOKUP("3000",$B:$Z,6,0)</f>
        <v>0</v>
      </c>
      <c r="H21" s="19">
        <f>VLOOKUP("1000",B:$Z,7,0) + VLOOKUP("2000",$B:$Z,7,0) + VLOOKUP("3000",$B:$Z,7,0)</f>
        <v>0</v>
      </c>
      <c r="I21" s="19">
        <f>VLOOKUP("1000",B:$Z,8,0) + VLOOKUP("2000",$B:$Z,8,0) + VLOOKUP("3000",$B:$Z,8,0)</f>
        <v>0</v>
      </c>
      <c r="J21" s="19">
        <f>VLOOKUP("1000",B:$Z,9,0) + VLOOKUP("2000",$B:$Z,9,0) + VLOOKUP("3000",$B:$Z,9,0)</f>
        <v>0</v>
      </c>
      <c r="K21" s="19">
        <f>VLOOKUP("1000",B:$Z,10,0) + VLOOKUP("2000",$B:$Z,10,0) + VLOOKUP("3000",$B:$Z,10,0)</f>
        <v>0</v>
      </c>
      <c r="L21" s="19">
        <f>VLOOKUP("1000",B:$Z,11,0) + VLOOKUP("2000",$B:$Z,11,0) + VLOOKUP("3000",$B:$Z,11,0)</f>
        <v>0</v>
      </c>
      <c r="M21" s="19">
        <f>VLOOKUP("1000",B:$Z,12,0) + VLOOKUP("2000",$B:$Z,12,0) + VLOOKUP("3000",$B:$Z,12,0)</f>
        <v>0</v>
      </c>
      <c r="N21" s="19">
        <f>VLOOKUP("1000",B:$Z,13,0) + VLOOKUP("2000",$B:$Z,13,0) + VLOOKUP("3000",$B:$Z,13,0)</f>
        <v>0</v>
      </c>
    </row>
    <row r="22" spans="1:14" ht="15" customHeight="1" x14ac:dyDescent="0.15"/>
    <row r="23" spans="1:14" ht="39.950000000000003" customHeight="1" x14ac:dyDescent="0.15">
      <c r="A23" s="20" t="s">
        <v>42</v>
      </c>
      <c r="B23" s="21"/>
      <c r="D23" s="21"/>
      <c r="F23" s="21"/>
    </row>
    <row r="24" spans="1:14" ht="20.100000000000001" customHeight="1" x14ac:dyDescent="0.15">
      <c r="B24" s="22" t="s">
        <v>43</v>
      </c>
      <c r="D24" s="22" t="s">
        <v>206</v>
      </c>
      <c r="F24" s="22" t="s">
        <v>44</v>
      </c>
    </row>
    <row r="25" spans="1:14" ht="39.950000000000003" customHeight="1" x14ac:dyDescent="0.15">
      <c r="A25" s="20" t="s">
        <v>45</v>
      </c>
      <c r="B25" s="21"/>
      <c r="D25" s="21"/>
      <c r="F25" s="21"/>
    </row>
    <row r="26" spans="1:14" ht="20.100000000000001" customHeight="1" x14ac:dyDescent="0.15">
      <c r="B26" s="22" t="s">
        <v>43</v>
      </c>
      <c r="D26" s="22" t="s">
        <v>276</v>
      </c>
      <c r="F26" s="22" t="s">
        <v>46</v>
      </c>
    </row>
    <row r="27" spans="1:14" ht="20.100000000000001" customHeight="1" x14ac:dyDescent="0.15">
      <c r="A27" s="117" t="s">
        <v>47</v>
      </c>
      <c r="B27" s="117"/>
    </row>
  </sheetData>
  <mergeCells count="19">
    <mergeCell ref="N4:N6"/>
    <mergeCell ref="E5:F5"/>
    <mergeCell ref="K5:L5"/>
    <mergeCell ref="A27:B27"/>
    <mergeCell ref="A1:A6"/>
    <mergeCell ref="B1:B6"/>
    <mergeCell ref="C1:N1"/>
    <mergeCell ref="C2:N2"/>
    <mergeCell ref="C3:H3"/>
    <mergeCell ref="I3:N3"/>
    <mergeCell ref="C4:C6"/>
    <mergeCell ref="D4:D6"/>
    <mergeCell ref="E4:F4"/>
    <mergeCell ref="G4:G6"/>
    <mergeCell ref="H4:H6"/>
    <mergeCell ref="I4:I6"/>
    <mergeCell ref="J4:J6"/>
    <mergeCell ref="K4:L4"/>
    <mergeCell ref="M4:M6"/>
  </mergeCells>
  <phoneticPr fontId="0" type="noConversion"/>
  <pageMargins left="0.4" right="0.4" top="0.4" bottom="0.4" header="0.1" footer="0.1"/>
  <pageSetup paperSize="9" scale="3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1"/>
  <sheetViews>
    <sheetView workbookViewId="0">
      <selection activeCell="A14" sqref="A14:XFD15"/>
    </sheetView>
  </sheetViews>
  <sheetFormatPr defaultRowHeight="15" x14ac:dyDescent="0.15"/>
  <cols>
    <col min="1" max="1" width="66.85546875" style="58" customWidth="1"/>
    <col min="2" max="7" width="24.85546875" style="58" customWidth="1"/>
    <col min="8" max="16384" width="9.140625" style="58"/>
  </cols>
  <sheetData>
    <row r="1" spans="1:7" ht="50.1" customHeight="1" x14ac:dyDescent="0.15">
      <c r="A1" s="109" t="s">
        <v>30</v>
      </c>
      <c r="B1" s="109"/>
      <c r="C1" s="109"/>
      <c r="D1" s="109"/>
      <c r="E1" s="109"/>
      <c r="F1" s="109"/>
      <c r="G1" s="109"/>
    </row>
    <row r="2" spans="1:7" ht="30" customHeight="1" x14ac:dyDescent="0.15">
      <c r="A2" s="108" t="s">
        <v>711</v>
      </c>
      <c r="B2" s="108"/>
      <c r="C2" s="108"/>
      <c r="D2" s="108"/>
      <c r="E2" s="108"/>
      <c r="F2" s="108"/>
      <c r="G2" s="108"/>
    </row>
    <row r="3" spans="1:7" ht="30" customHeight="1" x14ac:dyDescent="0.15">
      <c r="G3" s="57" t="s">
        <v>1</v>
      </c>
    </row>
    <row r="4" spans="1:7" ht="30" customHeight="1" x14ac:dyDescent="0.15">
      <c r="F4" s="60" t="s">
        <v>2</v>
      </c>
      <c r="G4" s="57" t="s">
        <v>49</v>
      </c>
    </row>
    <row r="5" spans="1:7" ht="30" customHeight="1" x14ac:dyDescent="0.15">
      <c r="F5" s="60" t="s">
        <v>5</v>
      </c>
      <c r="G5" s="57" t="s">
        <v>6</v>
      </c>
    </row>
    <row r="6" spans="1:7" ht="30" customHeight="1" x14ac:dyDescent="0.15">
      <c r="A6" s="61" t="s">
        <v>3</v>
      </c>
      <c r="B6" s="107" t="s">
        <v>4</v>
      </c>
      <c r="C6" s="107"/>
      <c r="D6" s="107"/>
      <c r="E6" s="107"/>
      <c r="F6" s="60" t="s">
        <v>9</v>
      </c>
      <c r="G6" s="57" t="s">
        <v>10</v>
      </c>
    </row>
    <row r="7" spans="1:7" ht="30" customHeight="1" x14ac:dyDescent="0.15">
      <c r="A7" s="61" t="s">
        <v>50</v>
      </c>
      <c r="B7" s="107" t="s">
        <v>12</v>
      </c>
      <c r="C7" s="107"/>
      <c r="D7" s="107"/>
      <c r="E7" s="107"/>
      <c r="F7" s="60" t="s">
        <v>13</v>
      </c>
      <c r="G7" s="57" t="s">
        <v>14</v>
      </c>
    </row>
    <row r="8" spans="1:7" ht="30" customHeight="1" x14ac:dyDescent="0.15">
      <c r="A8" s="61" t="s">
        <v>15</v>
      </c>
      <c r="B8" s="107" t="s">
        <v>16</v>
      </c>
      <c r="C8" s="107"/>
      <c r="D8" s="107"/>
      <c r="E8" s="107"/>
      <c r="F8" s="60" t="s">
        <v>51</v>
      </c>
      <c r="G8" s="57" t="s">
        <v>18</v>
      </c>
    </row>
    <row r="9" spans="1:7" ht="30" customHeight="1" x14ac:dyDescent="0.15">
      <c r="A9" s="61" t="s">
        <v>19</v>
      </c>
      <c r="B9" s="108"/>
      <c r="C9" s="108"/>
      <c r="D9" s="108"/>
      <c r="E9" s="108"/>
      <c r="F9" s="60" t="s">
        <v>20</v>
      </c>
      <c r="G9" s="57" t="s">
        <v>21</v>
      </c>
    </row>
    <row r="10" spans="1:7" ht="30" customHeight="1" x14ac:dyDescent="0.15"/>
    <row r="11" spans="1:7" ht="30" customHeight="1" x14ac:dyDescent="0.15">
      <c r="A11" s="105" t="s">
        <v>446</v>
      </c>
      <c r="B11" s="105" t="s">
        <v>447</v>
      </c>
      <c r="C11" s="105" t="s">
        <v>448</v>
      </c>
      <c r="D11" s="105"/>
      <c r="E11" s="105"/>
      <c r="F11" s="105" t="s">
        <v>449</v>
      </c>
      <c r="G11" s="105" t="s">
        <v>450</v>
      </c>
    </row>
    <row r="12" spans="1:7" ht="30" customHeight="1" x14ac:dyDescent="0.15">
      <c r="A12" s="105"/>
      <c r="B12" s="105"/>
      <c r="C12" s="57" t="s">
        <v>451</v>
      </c>
      <c r="D12" s="57" t="s">
        <v>218</v>
      </c>
      <c r="E12" s="57" t="s">
        <v>219</v>
      </c>
      <c r="F12" s="105"/>
      <c r="G12" s="105"/>
    </row>
    <row r="13" spans="1:7" ht="20.100000000000001" customHeight="1" x14ac:dyDescent="0.15">
      <c r="A13" s="57" t="s">
        <v>60</v>
      </c>
      <c r="B13" s="57" t="s">
        <v>61</v>
      </c>
      <c r="C13" s="57" t="s">
        <v>62</v>
      </c>
      <c r="D13" s="57" t="s">
        <v>63</v>
      </c>
      <c r="E13" s="57" t="s">
        <v>64</v>
      </c>
      <c r="F13" s="57" t="s">
        <v>65</v>
      </c>
      <c r="G13" s="57" t="s">
        <v>151</v>
      </c>
    </row>
    <row r="14" spans="1:7" ht="42.75" customHeight="1" x14ac:dyDescent="0.15">
      <c r="A14" s="66" t="s">
        <v>452</v>
      </c>
      <c r="B14" s="65" t="s">
        <v>134</v>
      </c>
      <c r="C14" s="65" t="s">
        <v>134</v>
      </c>
      <c r="D14" s="65" t="s">
        <v>134</v>
      </c>
      <c r="E14" s="65" t="s">
        <v>134</v>
      </c>
      <c r="F14" s="65" t="s">
        <v>134</v>
      </c>
      <c r="G14" s="65" t="s">
        <v>134</v>
      </c>
    </row>
    <row r="15" spans="1:7" ht="42.75" customHeight="1" x14ac:dyDescent="0.15">
      <c r="A15" s="66" t="s">
        <v>453</v>
      </c>
      <c r="B15" s="65" t="s">
        <v>134</v>
      </c>
      <c r="C15" s="65" t="s">
        <v>134</v>
      </c>
      <c r="D15" s="65" t="s">
        <v>134</v>
      </c>
      <c r="E15" s="65" t="s">
        <v>134</v>
      </c>
      <c r="F15" s="65" t="s">
        <v>134</v>
      </c>
      <c r="G15" s="65" t="s">
        <v>134</v>
      </c>
    </row>
    <row r="16" spans="1:7" ht="15" customHeight="1" x14ac:dyDescent="0.15"/>
    <row r="17" spans="1:6" ht="39.950000000000003" customHeight="1" x14ac:dyDescent="0.15">
      <c r="A17" s="61" t="s">
        <v>42</v>
      </c>
      <c r="B17" s="62"/>
      <c r="D17" s="62"/>
      <c r="F17" s="62"/>
    </row>
    <row r="18" spans="1:6" ht="20.100000000000001" customHeight="1" x14ac:dyDescent="0.15">
      <c r="B18" s="59" t="s">
        <v>43</v>
      </c>
      <c r="D18" s="59" t="s">
        <v>206</v>
      </c>
      <c r="F18" s="59" t="s">
        <v>44</v>
      </c>
    </row>
    <row r="19" spans="1:6" ht="39.950000000000003" customHeight="1" x14ac:dyDescent="0.15">
      <c r="A19" s="61" t="s">
        <v>45</v>
      </c>
      <c r="B19" s="62"/>
      <c r="D19" s="62"/>
      <c r="F19" s="62"/>
    </row>
    <row r="20" spans="1:6" ht="20.100000000000001" customHeight="1" x14ac:dyDescent="0.15">
      <c r="B20" s="59" t="s">
        <v>43</v>
      </c>
      <c r="D20" s="59" t="s">
        <v>276</v>
      </c>
      <c r="F20" s="59" t="s">
        <v>46</v>
      </c>
    </row>
    <row r="21" spans="1:6" ht="20.100000000000001" customHeight="1" x14ac:dyDescent="0.15">
      <c r="A21" s="106" t="s">
        <v>47</v>
      </c>
      <c r="B21" s="106"/>
    </row>
  </sheetData>
  <mergeCells count="12">
    <mergeCell ref="A1:G1"/>
    <mergeCell ref="A2:G2"/>
    <mergeCell ref="B6:E6"/>
    <mergeCell ref="B7:E7"/>
    <mergeCell ref="B8:E8"/>
    <mergeCell ref="G11:G12"/>
    <mergeCell ref="A21:B21"/>
    <mergeCell ref="B9:E9"/>
    <mergeCell ref="A11:A12"/>
    <mergeCell ref="B11:B12"/>
    <mergeCell ref="C11:E11"/>
    <mergeCell ref="F11:F12"/>
  </mergeCells>
  <phoneticPr fontId="0" type="noConversion"/>
  <pageMargins left="0.4" right="0.4" top="0.4" bottom="0.4" header="0.1" footer="0.1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AE31"/>
  <sheetViews>
    <sheetView topLeftCell="L1" zoomScale="30" zoomScaleNormal="30" workbookViewId="0">
      <selection activeCell="AA16" sqref="AA16"/>
    </sheetView>
  </sheetViews>
  <sheetFormatPr defaultRowHeight="18" x14ac:dyDescent="0.15"/>
  <cols>
    <col min="1" max="1" width="47.7109375" style="13" customWidth="1"/>
    <col min="2" max="2" width="58.85546875" style="13" customWidth="1"/>
    <col min="3" max="3" width="41.28515625" style="13" customWidth="1"/>
    <col min="4" max="4" width="34.5703125" style="13" customWidth="1"/>
    <col min="5" max="5" width="32.7109375" style="13" customWidth="1"/>
    <col min="6" max="17" width="24.85546875" style="13" customWidth="1"/>
    <col min="18" max="21" width="24.28515625" style="13" customWidth="1"/>
    <col min="22" max="22" width="58.5703125" style="13" customWidth="1"/>
    <col min="23" max="23" width="52.42578125" style="13" customWidth="1"/>
    <col min="24" max="25" width="27.85546875" style="13" customWidth="1"/>
    <col min="26" max="26" width="49.140625" style="13" customWidth="1"/>
    <col min="27" max="27" width="21.85546875" style="13" customWidth="1"/>
    <col min="28" max="28" width="22.140625" style="13" customWidth="1"/>
    <col min="29" max="29" width="24.5703125" style="13" customWidth="1"/>
    <col min="30" max="30" width="21.5703125" style="13" customWidth="1"/>
    <col min="31" max="31" width="26" style="13" customWidth="1"/>
    <col min="32" max="16384" width="9.140625" style="13"/>
  </cols>
  <sheetData>
    <row r="1" spans="1:31" s="56" customFormat="1" ht="50.1" customHeight="1" x14ac:dyDescent="0.15">
      <c r="A1" s="118" t="s">
        <v>31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</row>
    <row r="2" spans="1:31" s="56" customFormat="1" ht="50.1" customHeight="1" x14ac:dyDescent="0.15">
      <c r="A2" s="118" t="s">
        <v>454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1:31" s="56" customFormat="1" ht="30" customHeight="1" x14ac:dyDescent="0.15">
      <c r="A3" s="119" t="s">
        <v>711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</row>
    <row r="4" spans="1:31" s="29" customFormat="1" ht="30" customHeight="1" x14ac:dyDescent="0.15">
      <c r="AE4" s="26" t="s">
        <v>1</v>
      </c>
    </row>
    <row r="5" spans="1:31" s="29" customFormat="1" ht="30" customHeight="1" x14ac:dyDescent="0.15">
      <c r="AD5" s="31" t="s">
        <v>2</v>
      </c>
      <c r="AE5" s="26" t="s">
        <v>49</v>
      </c>
    </row>
    <row r="6" spans="1:31" s="29" customFormat="1" ht="30" customHeight="1" x14ac:dyDescent="0.15">
      <c r="AD6" s="31" t="s">
        <v>5</v>
      </c>
      <c r="AE6" s="26" t="s">
        <v>6</v>
      </c>
    </row>
    <row r="7" spans="1:31" s="29" customFormat="1" ht="30" customHeight="1" x14ac:dyDescent="0.15">
      <c r="A7" s="111" t="s">
        <v>3</v>
      </c>
      <c r="B7" s="111"/>
      <c r="C7" s="112" t="s">
        <v>4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D7" s="31" t="s">
        <v>9</v>
      </c>
      <c r="AE7" s="26" t="s">
        <v>10</v>
      </c>
    </row>
    <row r="8" spans="1:31" s="29" customFormat="1" ht="30" customHeight="1" x14ac:dyDescent="0.15">
      <c r="A8" s="111" t="s">
        <v>50</v>
      </c>
      <c r="B8" s="111"/>
      <c r="C8" s="112" t="s">
        <v>12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D8" s="31" t="s">
        <v>13</v>
      </c>
      <c r="AE8" s="26" t="s">
        <v>14</v>
      </c>
    </row>
    <row r="9" spans="1:31" s="29" customFormat="1" ht="30" customHeight="1" x14ac:dyDescent="0.15">
      <c r="A9" s="111" t="s">
        <v>15</v>
      </c>
      <c r="B9" s="111"/>
      <c r="C9" s="112" t="s">
        <v>16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D9" s="31" t="s">
        <v>51</v>
      </c>
      <c r="AE9" s="26" t="s">
        <v>18</v>
      </c>
    </row>
    <row r="10" spans="1:31" s="29" customFormat="1" ht="30" customHeight="1" x14ac:dyDescent="0.15">
      <c r="A10" s="111" t="s">
        <v>19</v>
      </c>
      <c r="B10" s="111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D10" s="31" t="s">
        <v>20</v>
      </c>
      <c r="AE10" s="26" t="s">
        <v>21</v>
      </c>
    </row>
    <row r="11" spans="1:31" s="29" customFormat="1" ht="30" customHeight="1" x14ac:dyDescent="0.15"/>
    <row r="12" spans="1:31" s="29" customFormat="1" ht="50.1" customHeight="1" x14ac:dyDescent="0.15">
      <c r="A12" s="110" t="s">
        <v>455</v>
      </c>
      <c r="B12" s="110" t="s">
        <v>456</v>
      </c>
      <c r="C12" s="110" t="s">
        <v>457</v>
      </c>
      <c r="D12" s="110" t="s">
        <v>458</v>
      </c>
      <c r="E12" s="110" t="s">
        <v>459</v>
      </c>
      <c r="F12" s="110" t="s">
        <v>460</v>
      </c>
      <c r="G12" s="110" t="s">
        <v>461</v>
      </c>
      <c r="H12" s="110"/>
      <c r="I12" s="110" t="s">
        <v>54</v>
      </c>
      <c r="J12" s="110" t="s">
        <v>462</v>
      </c>
      <c r="K12" s="110"/>
      <c r="L12" s="110"/>
      <c r="M12" s="110"/>
      <c r="N12" s="110" t="s">
        <v>463</v>
      </c>
      <c r="O12" s="110"/>
      <c r="P12" s="110"/>
      <c r="Q12" s="110"/>
      <c r="R12" s="110" t="s">
        <v>464</v>
      </c>
      <c r="S12" s="110"/>
      <c r="T12" s="110"/>
      <c r="U12" s="110"/>
      <c r="V12" s="110" t="s">
        <v>465</v>
      </c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1:31" s="29" customFormat="1" ht="50.1" customHeight="1" x14ac:dyDescent="0.15">
      <c r="A13" s="110"/>
      <c r="B13" s="110"/>
      <c r="C13" s="110"/>
      <c r="D13" s="110"/>
      <c r="E13" s="110"/>
      <c r="F13" s="110"/>
      <c r="G13" s="110" t="s">
        <v>466</v>
      </c>
      <c r="H13" s="110" t="s">
        <v>221</v>
      </c>
      <c r="I13" s="110"/>
      <c r="J13" s="110" t="s">
        <v>216</v>
      </c>
      <c r="K13" s="110" t="s">
        <v>295</v>
      </c>
      <c r="L13" s="110"/>
      <c r="M13" s="110"/>
      <c r="N13" s="110" t="s">
        <v>216</v>
      </c>
      <c r="O13" s="110" t="s">
        <v>295</v>
      </c>
      <c r="P13" s="110"/>
      <c r="Q13" s="110"/>
      <c r="R13" s="110" t="s">
        <v>216</v>
      </c>
      <c r="S13" s="110" t="s">
        <v>146</v>
      </c>
      <c r="T13" s="110"/>
      <c r="U13" s="110"/>
      <c r="V13" s="110" t="s">
        <v>216</v>
      </c>
      <c r="W13" s="110" t="s">
        <v>146</v>
      </c>
      <c r="X13" s="110"/>
      <c r="Y13" s="110"/>
      <c r="Z13" s="110"/>
      <c r="AA13" s="110"/>
      <c r="AB13" s="110"/>
      <c r="AC13" s="110"/>
      <c r="AD13" s="110"/>
      <c r="AE13" s="110"/>
    </row>
    <row r="14" spans="1:31" s="29" customFormat="1" ht="50.1" customHeight="1" x14ac:dyDescent="0.15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 t="s">
        <v>467</v>
      </c>
      <c r="L14" s="110"/>
      <c r="M14" s="110" t="s">
        <v>468</v>
      </c>
      <c r="N14" s="110"/>
      <c r="O14" s="110" t="s">
        <v>469</v>
      </c>
      <c r="P14" s="110" t="s">
        <v>470</v>
      </c>
      <c r="Q14" s="110" t="s">
        <v>471</v>
      </c>
      <c r="R14" s="110"/>
      <c r="S14" s="110" t="s">
        <v>472</v>
      </c>
      <c r="T14" s="110" t="s">
        <v>473</v>
      </c>
      <c r="U14" s="110"/>
      <c r="V14" s="110"/>
      <c r="W14" s="110" t="s">
        <v>172</v>
      </c>
      <c r="X14" s="110"/>
      <c r="Y14" s="110"/>
      <c r="Z14" s="110" t="s">
        <v>474</v>
      </c>
      <c r="AA14" s="110"/>
      <c r="AB14" s="110"/>
      <c r="AC14" s="110" t="s">
        <v>475</v>
      </c>
      <c r="AD14" s="110"/>
      <c r="AE14" s="110"/>
    </row>
    <row r="15" spans="1:31" s="29" customFormat="1" ht="50.1" customHeight="1" x14ac:dyDescent="0.1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 t="s">
        <v>476</v>
      </c>
      <c r="L15" s="110" t="s">
        <v>477</v>
      </c>
      <c r="M15" s="110"/>
      <c r="N15" s="110"/>
      <c r="O15" s="110"/>
      <c r="P15" s="110"/>
      <c r="Q15" s="110"/>
      <c r="R15" s="110"/>
      <c r="S15" s="110"/>
      <c r="T15" s="110" t="s">
        <v>478</v>
      </c>
      <c r="U15" s="110" t="s">
        <v>479</v>
      </c>
      <c r="V15" s="110"/>
      <c r="W15" s="110" t="s">
        <v>216</v>
      </c>
      <c r="X15" s="110" t="s">
        <v>146</v>
      </c>
      <c r="Y15" s="110"/>
      <c r="Z15" s="110" t="s">
        <v>216</v>
      </c>
      <c r="AA15" s="110" t="s">
        <v>146</v>
      </c>
      <c r="AB15" s="110"/>
      <c r="AC15" s="110" t="s">
        <v>216</v>
      </c>
      <c r="AD15" s="110" t="s">
        <v>146</v>
      </c>
      <c r="AE15" s="110"/>
    </row>
    <row r="16" spans="1:31" s="29" customFormat="1" ht="137.25" customHeight="1" x14ac:dyDescent="0.15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26" t="s">
        <v>480</v>
      </c>
      <c r="Y16" s="26" t="s">
        <v>481</v>
      </c>
      <c r="Z16" s="110"/>
      <c r="AA16" s="26" t="s">
        <v>480</v>
      </c>
      <c r="AB16" s="26" t="s">
        <v>481</v>
      </c>
      <c r="AC16" s="110"/>
      <c r="AD16" s="26" t="s">
        <v>480</v>
      </c>
      <c r="AE16" s="26" t="s">
        <v>481</v>
      </c>
    </row>
    <row r="17" spans="1:31" s="29" customFormat="1" ht="20.100000000000001" customHeight="1" x14ac:dyDescent="0.15">
      <c r="A17" s="26" t="s">
        <v>60</v>
      </c>
      <c r="B17" s="26" t="s">
        <v>61</v>
      </c>
      <c r="C17" s="26" t="s">
        <v>62</v>
      </c>
      <c r="D17" s="26" t="s">
        <v>63</v>
      </c>
      <c r="E17" s="26" t="s">
        <v>64</v>
      </c>
      <c r="F17" s="26" t="s">
        <v>65</v>
      </c>
      <c r="G17" s="26" t="s">
        <v>151</v>
      </c>
      <c r="H17" s="26" t="s">
        <v>152</v>
      </c>
      <c r="I17" s="26" t="s">
        <v>153</v>
      </c>
      <c r="J17" s="26" t="s">
        <v>154</v>
      </c>
      <c r="K17" s="26" t="s">
        <v>155</v>
      </c>
      <c r="L17" s="26" t="s">
        <v>156</v>
      </c>
      <c r="M17" s="26" t="s">
        <v>157</v>
      </c>
      <c r="N17" s="26" t="s">
        <v>158</v>
      </c>
      <c r="O17" s="26" t="s">
        <v>159</v>
      </c>
      <c r="P17" s="26" t="s">
        <v>160</v>
      </c>
      <c r="Q17" s="26" t="s">
        <v>161</v>
      </c>
      <c r="R17" s="26" t="s">
        <v>162</v>
      </c>
      <c r="S17" s="26" t="s">
        <v>163</v>
      </c>
      <c r="T17" s="26" t="s">
        <v>164</v>
      </c>
      <c r="U17" s="26" t="s">
        <v>424</v>
      </c>
      <c r="V17" s="26" t="s">
        <v>425</v>
      </c>
      <c r="W17" s="26" t="s">
        <v>426</v>
      </c>
      <c r="X17" s="26" t="s">
        <v>427</v>
      </c>
      <c r="Y17" s="26" t="s">
        <v>428</v>
      </c>
      <c r="Z17" s="26" t="s">
        <v>429</v>
      </c>
      <c r="AA17" s="26" t="s">
        <v>430</v>
      </c>
      <c r="AB17" s="26" t="s">
        <v>431</v>
      </c>
      <c r="AC17" s="26" t="s">
        <v>434</v>
      </c>
      <c r="AD17" s="26" t="s">
        <v>435</v>
      </c>
    </row>
    <row r="18" spans="1:31" s="35" customFormat="1" ht="123" customHeight="1" x14ac:dyDescent="0.15">
      <c r="A18" s="42" t="s">
        <v>482</v>
      </c>
      <c r="B18" s="40" t="s">
        <v>134</v>
      </c>
      <c r="C18" s="40" t="s">
        <v>134</v>
      </c>
      <c r="D18" s="40" t="s">
        <v>134</v>
      </c>
      <c r="E18" s="40" t="s">
        <v>134</v>
      </c>
      <c r="F18" s="40" t="s">
        <v>134</v>
      </c>
      <c r="G18" s="40" t="s">
        <v>483</v>
      </c>
      <c r="H18" s="40" t="s">
        <v>484</v>
      </c>
      <c r="I18" s="40" t="s">
        <v>121</v>
      </c>
      <c r="J18" s="41">
        <v>2</v>
      </c>
      <c r="K18" s="41">
        <v>2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9">
        <f>W18+Z18+AC18</f>
        <v>1363461.57</v>
      </c>
      <c r="W18" s="49">
        <v>1060356.08</v>
      </c>
      <c r="X18" s="41">
        <v>0</v>
      </c>
      <c r="Y18" s="41">
        <v>0</v>
      </c>
      <c r="Z18" s="49">
        <v>303105.49</v>
      </c>
      <c r="AA18" s="44">
        <v>0</v>
      </c>
      <c r="AB18" s="25">
        <v>0</v>
      </c>
      <c r="AC18" s="25">
        <v>0</v>
      </c>
      <c r="AD18" s="25">
        <v>0</v>
      </c>
      <c r="AE18" s="25">
        <v>0</v>
      </c>
    </row>
    <row r="19" spans="1:31" ht="123" customHeight="1" x14ac:dyDescent="0.15">
      <c r="A19" s="15" t="s">
        <v>295</v>
      </c>
      <c r="B19" s="14"/>
      <c r="C19" s="14"/>
      <c r="D19" s="14"/>
      <c r="E19" s="14"/>
      <c r="F19" s="14"/>
      <c r="G19" s="14"/>
      <c r="H19" s="14"/>
      <c r="I19" s="14" t="s">
        <v>485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50"/>
      <c r="W19" s="50"/>
      <c r="X19" s="14"/>
      <c r="Y19" s="14"/>
      <c r="Z19" s="50"/>
      <c r="AA19" s="45"/>
      <c r="AB19" s="26"/>
      <c r="AC19" s="26"/>
      <c r="AD19" s="26"/>
      <c r="AE19" s="26"/>
    </row>
    <row r="20" spans="1:31" s="38" customFormat="1" ht="239.25" customHeight="1" x14ac:dyDescent="0.15">
      <c r="A20" s="52" t="s">
        <v>486</v>
      </c>
      <c r="B20" s="52" t="s">
        <v>487</v>
      </c>
      <c r="C20" s="53" t="s">
        <v>488</v>
      </c>
      <c r="D20" s="53" t="s">
        <v>21</v>
      </c>
      <c r="E20" s="53" t="s">
        <v>489</v>
      </c>
      <c r="F20" s="53" t="s">
        <v>490</v>
      </c>
      <c r="G20" s="36" t="s">
        <v>483</v>
      </c>
      <c r="H20" s="36" t="s">
        <v>484</v>
      </c>
      <c r="I20" s="36"/>
      <c r="J20" s="54">
        <v>1</v>
      </c>
      <c r="K20" s="54">
        <v>1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43">
        <v>0</v>
      </c>
      <c r="S20" s="43">
        <v>0</v>
      </c>
      <c r="T20" s="43">
        <v>0</v>
      </c>
      <c r="U20" s="43">
        <v>0</v>
      </c>
      <c r="V20" s="51">
        <f>W20+Z20+AC20</f>
        <v>833283.53</v>
      </c>
      <c r="W20" s="51">
        <v>530178.04</v>
      </c>
      <c r="X20" s="43">
        <v>0</v>
      </c>
      <c r="Y20" s="43">
        <v>0</v>
      </c>
      <c r="Z20" s="51">
        <v>303105.49</v>
      </c>
      <c r="AA20" s="46">
        <v>0</v>
      </c>
      <c r="AB20" s="43">
        <v>0</v>
      </c>
      <c r="AC20" s="43">
        <v>0</v>
      </c>
      <c r="AD20" s="43">
        <v>0</v>
      </c>
      <c r="AE20" s="43">
        <v>0</v>
      </c>
    </row>
    <row r="21" spans="1:31" s="38" customFormat="1" ht="215.25" customHeight="1" x14ac:dyDescent="0.15">
      <c r="A21" s="52" t="s">
        <v>491</v>
      </c>
      <c r="B21" s="52" t="s">
        <v>487</v>
      </c>
      <c r="C21" s="53" t="s">
        <v>492</v>
      </c>
      <c r="D21" s="53" t="s">
        <v>21</v>
      </c>
      <c r="E21" s="53" t="s">
        <v>493</v>
      </c>
      <c r="F21" s="53" t="s">
        <v>490</v>
      </c>
      <c r="G21" s="36" t="s">
        <v>483</v>
      </c>
      <c r="H21" s="36" t="s">
        <v>484</v>
      </c>
      <c r="I21" s="36"/>
      <c r="J21" s="54">
        <v>1</v>
      </c>
      <c r="K21" s="54">
        <v>1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43">
        <v>0</v>
      </c>
      <c r="S21" s="43">
        <v>0</v>
      </c>
      <c r="T21" s="43">
        <v>0</v>
      </c>
      <c r="U21" s="43">
        <v>0</v>
      </c>
      <c r="V21" s="51">
        <f>W21+Z21+AC21</f>
        <v>530178.04</v>
      </c>
      <c r="W21" s="51">
        <v>530178.04</v>
      </c>
      <c r="X21" s="43">
        <v>0</v>
      </c>
      <c r="Y21" s="43">
        <v>0</v>
      </c>
      <c r="Z21" s="51">
        <v>0</v>
      </c>
      <c r="AA21" s="46">
        <v>0</v>
      </c>
      <c r="AB21" s="43">
        <v>0</v>
      </c>
      <c r="AC21" s="43">
        <v>0</v>
      </c>
      <c r="AD21" s="43">
        <v>0</v>
      </c>
      <c r="AE21" s="43">
        <v>0</v>
      </c>
    </row>
    <row r="22" spans="1:31" s="35" customFormat="1" ht="123" customHeight="1" x14ac:dyDescent="0.15">
      <c r="H22" s="39" t="s">
        <v>132</v>
      </c>
      <c r="I22" s="40" t="s">
        <v>133</v>
      </c>
      <c r="J22" s="55">
        <f>VLOOKUP("1000",$I:$AE,2,0)</f>
        <v>2</v>
      </c>
      <c r="K22" s="55">
        <f>VLOOKUP("1000",$I:$AE,3,0)</f>
        <v>2</v>
      </c>
      <c r="L22" s="41">
        <f>VLOOKUP("1000",$I:$AE,4,0)</f>
        <v>0</v>
      </c>
      <c r="M22" s="41">
        <f>VLOOKUP("1000",$I:$AE,5,0)</f>
        <v>0</v>
      </c>
      <c r="N22" s="41">
        <f>VLOOKUP("1000",$I:$AE,6,0)</f>
        <v>0</v>
      </c>
      <c r="O22" s="41">
        <f>VLOOKUP("1000",$I:$AE,7,0)</f>
        <v>0</v>
      </c>
      <c r="P22" s="41">
        <f>VLOOKUP("1000",$I:$AE,8,0)</f>
        <v>0</v>
      </c>
      <c r="Q22" s="41">
        <f>VLOOKUP("1000",$I:$AE,9,0)</f>
        <v>0</v>
      </c>
      <c r="R22" s="25">
        <f>VLOOKUP("1000",$I:$AE,10,0)</f>
        <v>0</v>
      </c>
      <c r="S22" s="25">
        <f>VLOOKUP("1000",$I:$AE,11,0)</f>
        <v>0</v>
      </c>
      <c r="T22" s="25">
        <f>VLOOKUP("1000",$I:$AE,12,0)</f>
        <v>0</v>
      </c>
      <c r="U22" s="25">
        <f>VLOOKUP("1000",$I:$AE,13,0)</f>
        <v>0</v>
      </c>
      <c r="V22" s="49">
        <f>VLOOKUP("1000",$I:$AE,14,0)</f>
        <v>1363461.57</v>
      </c>
      <c r="W22" s="49">
        <f>VLOOKUP("1000",$I:$AE,15,0)</f>
        <v>1060356.08</v>
      </c>
      <c r="X22" s="25">
        <f>VLOOKUP("1000",$I:$AE,16,0)</f>
        <v>0</v>
      </c>
      <c r="Y22" s="25">
        <f>VLOOKUP("1000",$I:$AE,17,0)</f>
        <v>0</v>
      </c>
      <c r="Z22" s="49">
        <f>VLOOKUP("1000",$I:$AE,18,0)</f>
        <v>303105.49</v>
      </c>
      <c r="AA22" s="44">
        <v>0</v>
      </c>
      <c r="AB22" s="25">
        <f>VLOOKUP("1000",$I:$AE,20,0)</f>
        <v>0</v>
      </c>
      <c r="AC22" s="25">
        <f>VLOOKUP("1000",$I:$AE,21,0)</f>
        <v>0</v>
      </c>
      <c r="AD22" s="25">
        <f>VLOOKUP("1000",$I:$AE,22,0)</f>
        <v>0</v>
      </c>
      <c r="AE22" s="25">
        <f>VLOOKUP("1000",$I:$AE,23,0)</f>
        <v>0</v>
      </c>
    </row>
    <row r="23" spans="1:31" s="69" customFormat="1" ht="20.100000000000001" customHeight="1" x14ac:dyDescent="0.15"/>
    <row r="24" spans="1:31" s="69" customFormat="1" ht="30" customHeight="1" x14ac:dyDescent="0.15">
      <c r="A24" s="70" t="s">
        <v>42</v>
      </c>
      <c r="B24" s="71"/>
      <c r="D24" s="71"/>
      <c r="F24" s="71"/>
    </row>
    <row r="25" spans="1:31" s="69" customFormat="1" ht="30" customHeight="1" x14ac:dyDescent="0.15">
      <c r="B25" s="72" t="s">
        <v>43</v>
      </c>
      <c r="D25" s="72" t="s">
        <v>206</v>
      </c>
      <c r="F25" s="72" t="s">
        <v>44</v>
      </c>
    </row>
    <row r="26" spans="1:31" s="69" customFormat="1" ht="30" customHeight="1" x14ac:dyDescent="0.15">
      <c r="A26" s="70" t="s">
        <v>45</v>
      </c>
      <c r="B26" s="71"/>
      <c r="D26" s="71"/>
      <c r="F26" s="71"/>
    </row>
    <row r="27" spans="1:31" s="69" customFormat="1" ht="30" customHeight="1" x14ac:dyDescent="0.15">
      <c r="B27" s="72" t="s">
        <v>43</v>
      </c>
      <c r="D27" s="72" t="s">
        <v>276</v>
      </c>
      <c r="F27" s="72" t="s">
        <v>46</v>
      </c>
    </row>
    <row r="28" spans="1:31" s="69" customFormat="1" ht="30" customHeight="1" x14ac:dyDescent="0.15">
      <c r="A28" s="70" t="s">
        <v>47</v>
      </c>
    </row>
    <row r="29" spans="1:31" s="69" customFormat="1" ht="22.5" x14ac:dyDescent="0.15"/>
    <row r="30" spans="1:31" s="69" customFormat="1" ht="22.5" x14ac:dyDescent="0.15"/>
    <row r="31" spans="1:31" s="69" customFormat="1" ht="22.5" x14ac:dyDescent="0.15"/>
  </sheetData>
  <mergeCells count="53">
    <mergeCell ref="A1:AE1"/>
    <mergeCell ref="A2:AE2"/>
    <mergeCell ref="A3:AE3"/>
    <mergeCell ref="A7:B7"/>
    <mergeCell ref="C7:AB7"/>
    <mergeCell ref="A8:B8"/>
    <mergeCell ref="C8:AB8"/>
    <mergeCell ref="A9:B9"/>
    <mergeCell ref="C9:AB9"/>
    <mergeCell ref="A10:B10"/>
    <mergeCell ref="C10:AB10"/>
    <mergeCell ref="A12:A16"/>
    <mergeCell ref="B12:B16"/>
    <mergeCell ref="C12:C16"/>
    <mergeCell ref="D12:D16"/>
    <mergeCell ref="E12:E16"/>
    <mergeCell ref="F12:F16"/>
    <mergeCell ref="G12:H12"/>
    <mergeCell ref="I12:I16"/>
    <mergeCell ref="J12:M12"/>
    <mergeCell ref="N12:Q12"/>
    <mergeCell ref="Q14:Q16"/>
    <mergeCell ref="K15:K16"/>
    <mergeCell ref="L15:L16"/>
    <mergeCell ref="R12:U12"/>
    <mergeCell ref="V12:AE12"/>
    <mergeCell ref="G13:G16"/>
    <mergeCell ref="H13:H16"/>
    <mergeCell ref="J13:J16"/>
    <mergeCell ref="K13:M13"/>
    <mergeCell ref="N13:N16"/>
    <mergeCell ref="O13:Q13"/>
    <mergeCell ref="R13:R16"/>
    <mergeCell ref="S13:U13"/>
    <mergeCell ref="V13:V16"/>
    <mergeCell ref="W13:AE13"/>
    <mergeCell ref="K14:L14"/>
    <mergeCell ref="M14:M16"/>
    <mergeCell ref="O14:O16"/>
    <mergeCell ref="P14:P16"/>
    <mergeCell ref="S14:S16"/>
    <mergeCell ref="T14:U14"/>
    <mergeCell ref="W14:Y14"/>
    <mergeCell ref="Z14:AB14"/>
    <mergeCell ref="AC14:AE14"/>
    <mergeCell ref="T15:T16"/>
    <mergeCell ref="U15:U16"/>
    <mergeCell ref="W15:W16"/>
    <mergeCell ref="X15:Y15"/>
    <mergeCell ref="Z15:Z16"/>
    <mergeCell ref="AA15:AB15"/>
    <mergeCell ref="AC15:AC16"/>
    <mergeCell ref="AD15:AE15"/>
  </mergeCells>
  <phoneticPr fontId="0" type="noConversion"/>
  <pageMargins left="0.4" right="0.4" top="0.4" bottom="0.4" header="0.1" footer="0.1"/>
  <pageSetup paperSize="9" scale="1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24"/>
  <sheetViews>
    <sheetView topLeftCell="J1" zoomScale="50" zoomScaleNormal="50" workbookViewId="0">
      <selection activeCell="A18" sqref="A18"/>
    </sheetView>
  </sheetViews>
  <sheetFormatPr defaultRowHeight="22.5" x14ac:dyDescent="0.15"/>
  <cols>
    <col min="1" max="2" width="38.140625" style="69" customWidth="1"/>
    <col min="3" max="18" width="26.7109375" style="69" customWidth="1"/>
    <col min="19" max="19" width="32.7109375" style="69" customWidth="1"/>
    <col min="20" max="20" width="23.140625" style="69" customWidth="1"/>
    <col min="21" max="21" width="22.42578125" style="69" customWidth="1"/>
    <col min="22" max="22" width="32.85546875" style="69" customWidth="1"/>
    <col min="23" max="16384" width="9.140625" style="69"/>
  </cols>
  <sheetData>
    <row r="1" spans="1:22" ht="50.1" customHeight="1" x14ac:dyDescent="0.15">
      <c r="A1" s="124" t="s">
        <v>494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</row>
    <row r="2" spans="1:22" ht="30" customHeight="1" x14ac:dyDescent="0.15">
      <c r="A2" s="123" t="s">
        <v>711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2" ht="30" customHeight="1" x14ac:dyDescent="0.15">
      <c r="V3" s="73" t="s">
        <v>1</v>
      </c>
    </row>
    <row r="4" spans="1:22" ht="30" customHeight="1" x14ac:dyDescent="0.15">
      <c r="U4" s="74" t="s">
        <v>2</v>
      </c>
      <c r="V4" s="73" t="s">
        <v>49</v>
      </c>
    </row>
    <row r="5" spans="1:22" ht="30" customHeight="1" x14ac:dyDescent="0.15">
      <c r="U5" s="74" t="s">
        <v>5</v>
      </c>
      <c r="V5" s="73" t="s">
        <v>6</v>
      </c>
    </row>
    <row r="6" spans="1:22" ht="30" customHeight="1" x14ac:dyDescent="0.15">
      <c r="A6" s="120" t="s">
        <v>3</v>
      </c>
      <c r="B6" s="120"/>
      <c r="C6" s="122" t="s">
        <v>4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U6" s="74" t="s">
        <v>9</v>
      </c>
      <c r="V6" s="73" t="s">
        <v>10</v>
      </c>
    </row>
    <row r="7" spans="1:22" ht="30" customHeight="1" x14ac:dyDescent="0.15">
      <c r="A7" s="120" t="s">
        <v>50</v>
      </c>
      <c r="B7" s="120"/>
      <c r="C7" s="122" t="s">
        <v>12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U7" s="74" t="s">
        <v>13</v>
      </c>
      <c r="V7" s="73" t="s">
        <v>14</v>
      </c>
    </row>
    <row r="8" spans="1:22" ht="30" customHeight="1" x14ac:dyDescent="0.15">
      <c r="A8" s="120" t="s">
        <v>15</v>
      </c>
      <c r="B8" s="120"/>
      <c r="C8" s="122" t="s">
        <v>16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U8" s="74" t="s">
        <v>51</v>
      </c>
      <c r="V8" s="73" t="s">
        <v>18</v>
      </c>
    </row>
    <row r="9" spans="1:22" ht="30" customHeight="1" x14ac:dyDescent="0.15">
      <c r="A9" s="120" t="s">
        <v>19</v>
      </c>
      <c r="B9" s="12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U9" s="74" t="s">
        <v>20</v>
      </c>
      <c r="V9" s="73" t="s">
        <v>21</v>
      </c>
    </row>
    <row r="10" spans="1:22" ht="30" customHeight="1" x14ac:dyDescent="0.15"/>
    <row r="11" spans="1:22" ht="39.950000000000003" customHeight="1" x14ac:dyDescent="0.15">
      <c r="A11" s="121" t="s">
        <v>53</v>
      </c>
      <c r="B11" s="121" t="s">
        <v>456</v>
      </c>
      <c r="C11" s="121" t="s">
        <v>458</v>
      </c>
      <c r="D11" s="121" t="s">
        <v>457</v>
      </c>
      <c r="E11" s="121" t="s">
        <v>461</v>
      </c>
      <c r="F11" s="121"/>
      <c r="G11" s="121" t="s">
        <v>54</v>
      </c>
      <c r="H11" s="121" t="s">
        <v>495</v>
      </c>
      <c r="I11" s="121" t="s">
        <v>462</v>
      </c>
      <c r="J11" s="121"/>
      <c r="K11" s="121"/>
      <c r="L11" s="121"/>
      <c r="M11" s="121" t="s">
        <v>496</v>
      </c>
      <c r="N11" s="121" t="s">
        <v>497</v>
      </c>
      <c r="O11" s="121"/>
      <c r="P11" s="121"/>
      <c r="Q11" s="121"/>
      <c r="R11" s="121"/>
      <c r="S11" s="121" t="s">
        <v>498</v>
      </c>
      <c r="T11" s="121"/>
      <c r="U11" s="121"/>
      <c r="V11" s="121"/>
    </row>
    <row r="12" spans="1:22" ht="9.9499999999999993" customHeight="1" x14ac:dyDescent="0.1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</row>
    <row r="13" spans="1:22" ht="30" customHeight="1" x14ac:dyDescent="0.15">
      <c r="A13" s="121"/>
      <c r="B13" s="121"/>
      <c r="C13" s="121"/>
      <c r="D13" s="121"/>
      <c r="E13" s="121" t="s">
        <v>466</v>
      </c>
      <c r="F13" s="121" t="s">
        <v>221</v>
      </c>
      <c r="G13" s="121"/>
      <c r="H13" s="121"/>
      <c r="I13" s="121" t="s">
        <v>216</v>
      </c>
      <c r="J13" s="121" t="s">
        <v>295</v>
      </c>
      <c r="K13" s="121"/>
      <c r="L13" s="121"/>
      <c r="M13" s="121"/>
      <c r="N13" s="121" t="s">
        <v>216</v>
      </c>
      <c r="O13" s="121" t="s">
        <v>295</v>
      </c>
      <c r="P13" s="121"/>
      <c r="Q13" s="121"/>
      <c r="R13" s="121"/>
      <c r="S13" s="121" t="s">
        <v>216</v>
      </c>
      <c r="T13" s="121" t="s">
        <v>295</v>
      </c>
      <c r="U13" s="121"/>
      <c r="V13" s="121"/>
    </row>
    <row r="14" spans="1:22" ht="30" customHeight="1" x14ac:dyDescent="0.15">
      <c r="A14" s="121"/>
      <c r="B14" s="121"/>
      <c r="C14" s="121"/>
      <c r="D14" s="121"/>
      <c r="E14" s="121"/>
      <c r="F14" s="121"/>
      <c r="G14" s="121"/>
      <c r="H14" s="121"/>
      <c r="I14" s="121"/>
      <c r="J14" s="121" t="s">
        <v>467</v>
      </c>
      <c r="K14" s="121"/>
      <c r="L14" s="121" t="s">
        <v>468</v>
      </c>
      <c r="M14" s="121"/>
      <c r="N14" s="121"/>
      <c r="O14" s="121" t="s">
        <v>499</v>
      </c>
      <c r="P14" s="121"/>
      <c r="Q14" s="121"/>
      <c r="R14" s="121" t="s">
        <v>500</v>
      </c>
      <c r="S14" s="121"/>
      <c r="T14" s="121" t="s">
        <v>501</v>
      </c>
      <c r="U14" s="121"/>
      <c r="V14" s="121" t="s">
        <v>502</v>
      </c>
    </row>
    <row r="15" spans="1:22" ht="30" customHeight="1" x14ac:dyDescent="0.15">
      <c r="A15" s="121"/>
      <c r="B15" s="121"/>
      <c r="C15" s="121"/>
      <c r="D15" s="121"/>
      <c r="E15" s="121"/>
      <c r="F15" s="121"/>
      <c r="G15" s="121"/>
      <c r="H15" s="121"/>
      <c r="I15" s="121"/>
      <c r="J15" s="73" t="s">
        <v>476</v>
      </c>
      <c r="K15" s="73" t="s">
        <v>477</v>
      </c>
      <c r="L15" s="121"/>
      <c r="M15" s="121"/>
      <c r="N15" s="121"/>
      <c r="O15" s="73" t="s">
        <v>469</v>
      </c>
      <c r="P15" s="73" t="s">
        <v>470</v>
      </c>
      <c r="Q15" s="73" t="s">
        <v>503</v>
      </c>
      <c r="R15" s="121"/>
      <c r="S15" s="121"/>
      <c r="T15" s="73" t="s">
        <v>216</v>
      </c>
      <c r="U15" s="73" t="s">
        <v>504</v>
      </c>
      <c r="V15" s="121"/>
    </row>
    <row r="16" spans="1:22" ht="20.100000000000001" customHeight="1" x14ac:dyDescent="0.15">
      <c r="A16" s="73" t="s">
        <v>60</v>
      </c>
      <c r="B16" s="73" t="s">
        <v>61</v>
      </c>
      <c r="C16" s="73" t="s">
        <v>62</v>
      </c>
      <c r="D16" s="73" t="s">
        <v>63</v>
      </c>
      <c r="E16" s="73" t="s">
        <v>64</v>
      </c>
      <c r="F16" s="73" t="s">
        <v>65</v>
      </c>
      <c r="G16" s="73" t="s">
        <v>151</v>
      </c>
      <c r="H16" s="73" t="s">
        <v>152</v>
      </c>
      <c r="I16" s="73" t="s">
        <v>153</v>
      </c>
      <c r="J16" s="73" t="s">
        <v>154</v>
      </c>
      <c r="K16" s="73" t="s">
        <v>155</v>
      </c>
      <c r="L16" s="73" t="s">
        <v>156</v>
      </c>
      <c r="M16" s="73" t="s">
        <v>157</v>
      </c>
      <c r="N16" s="73" t="s">
        <v>158</v>
      </c>
      <c r="O16" s="73" t="s">
        <v>159</v>
      </c>
      <c r="P16" s="73" t="s">
        <v>160</v>
      </c>
      <c r="Q16" s="73" t="s">
        <v>161</v>
      </c>
      <c r="R16" s="73" t="s">
        <v>162</v>
      </c>
      <c r="S16" s="73" t="s">
        <v>163</v>
      </c>
      <c r="T16" s="73" t="s">
        <v>164</v>
      </c>
      <c r="U16" s="73" t="s">
        <v>424</v>
      </c>
      <c r="V16" s="73" t="s">
        <v>425</v>
      </c>
    </row>
    <row r="17" spans="1:22" ht="158.25" customHeight="1" x14ac:dyDescent="0.15">
      <c r="A17" s="75" t="s">
        <v>505</v>
      </c>
      <c r="B17" s="75" t="s">
        <v>506</v>
      </c>
      <c r="C17" s="73" t="s">
        <v>21</v>
      </c>
      <c r="D17" s="73" t="s">
        <v>507</v>
      </c>
      <c r="E17" s="73" t="s">
        <v>508</v>
      </c>
      <c r="F17" s="73" t="s">
        <v>509</v>
      </c>
      <c r="G17" s="73" t="s">
        <v>121</v>
      </c>
      <c r="H17" s="76">
        <f>I17+M17+N17</f>
        <v>1</v>
      </c>
      <c r="I17" s="76">
        <f>J17+K17+L17</f>
        <v>1</v>
      </c>
      <c r="J17" s="76">
        <v>1</v>
      </c>
      <c r="K17" s="76">
        <v>0</v>
      </c>
      <c r="L17" s="76">
        <v>0</v>
      </c>
      <c r="M17" s="76">
        <v>0</v>
      </c>
      <c r="N17" s="76">
        <f>O17+P17+Q17+R17</f>
        <v>0</v>
      </c>
      <c r="O17" s="76">
        <v>0</v>
      </c>
      <c r="P17" s="76">
        <v>0</v>
      </c>
      <c r="Q17" s="76">
        <v>0</v>
      </c>
      <c r="R17" s="76">
        <v>0</v>
      </c>
      <c r="S17" s="76">
        <f>T17+V17</f>
        <v>31135.68</v>
      </c>
      <c r="T17" s="76">
        <v>0</v>
      </c>
      <c r="U17" s="76">
        <v>0</v>
      </c>
      <c r="V17" s="76">
        <v>31135.68</v>
      </c>
    </row>
    <row r="18" spans="1:22" ht="20.100000000000001" customHeight="1" x14ac:dyDescent="0.15">
      <c r="G18" s="77" t="s">
        <v>132</v>
      </c>
      <c r="H18" s="78">
        <f t="shared" ref="H18:V18" si="0">SUM(H17:H17)</f>
        <v>1</v>
      </c>
      <c r="I18" s="78">
        <f t="shared" si="0"/>
        <v>1</v>
      </c>
      <c r="J18" s="78">
        <f t="shared" si="0"/>
        <v>1</v>
      </c>
      <c r="K18" s="78">
        <f t="shared" si="0"/>
        <v>0</v>
      </c>
      <c r="L18" s="78">
        <f t="shared" si="0"/>
        <v>0</v>
      </c>
      <c r="M18" s="78">
        <f t="shared" si="0"/>
        <v>0</v>
      </c>
      <c r="N18" s="78">
        <f t="shared" si="0"/>
        <v>0</v>
      </c>
      <c r="O18" s="78">
        <f t="shared" si="0"/>
        <v>0</v>
      </c>
      <c r="P18" s="78">
        <f t="shared" si="0"/>
        <v>0</v>
      </c>
      <c r="Q18" s="78">
        <f t="shared" si="0"/>
        <v>0</v>
      </c>
      <c r="R18" s="78">
        <f t="shared" si="0"/>
        <v>0</v>
      </c>
      <c r="S18" s="78">
        <f t="shared" si="0"/>
        <v>31135.68</v>
      </c>
      <c r="T18" s="78">
        <f t="shared" si="0"/>
        <v>0</v>
      </c>
      <c r="U18" s="78">
        <f t="shared" si="0"/>
        <v>0</v>
      </c>
      <c r="V18" s="78">
        <f t="shared" si="0"/>
        <v>31135.68</v>
      </c>
    </row>
    <row r="19" spans="1:22" ht="15" customHeight="1" x14ac:dyDescent="0.15"/>
    <row r="20" spans="1:22" ht="62.25" customHeight="1" x14ac:dyDescent="0.15">
      <c r="A20" s="70" t="s">
        <v>42</v>
      </c>
      <c r="B20" s="71"/>
      <c r="D20" s="71"/>
      <c r="F20" s="71"/>
    </row>
    <row r="21" spans="1:22" ht="20.100000000000001" customHeight="1" x14ac:dyDescent="0.15">
      <c r="B21" s="72" t="s">
        <v>43</v>
      </c>
      <c r="D21" s="72" t="s">
        <v>206</v>
      </c>
      <c r="F21" s="72" t="s">
        <v>44</v>
      </c>
    </row>
    <row r="22" spans="1:22" ht="39.950000000000003" customHeight="1" x14ac:dyDescent="0.15">
      <c r="A22" s="70" t="s">
        <v>45</v>
      </c>
      <c r="B22" s="71"/>
      <c r="D22" s="71"/>
      <c r="F22" s="71"/>
    </row>
    <row r="23" spans="1:22" ht="20.100000000000001" customHeight="1" x14ac:dyDescent="0.15">
      <c r="B23" s="72" t="s">
        <v>43</v>
      </c>
      <c r="D23" s="72" t="s">
        <v>276</v>
      </c>
      <c r="F23" s="72" t="s">
        <v>46</v>
      </c>
    </row>
    <row r="24" spans="1:22" ht="20.100000000000001" customHeight="1" x14ac:dyDescent="0.15">
      <c r="A24" s="120" t="s">
        <v>47</v>
      </c>
      <c r="B24" s="120"/>
    </row>
  </sheetData>
  <mergeCells count="36">
    <mergeCell ref="A1:V1"/>
    <mergeCell ref="A2:V2"/>
    <mergeCell ref="A6:B6"/>
    <mergeCell ref="C6:S6"/>
    <mergeCell ref="A7:B7"/>
    <mergeCell ref="C7:S7"/>
    <mergeCell ref="A8:B8"/>
    <mergeCell ref="C8:S8"/>
    <mergeCell ref="A9:B9"/>
    <mergeCell ref="C9:S9"/>
    <mergeCell ref="A11:A15"/>
    <mergeCell ref="B11:B15"/>
    <mergeCell ref="C11:C15"/>
    <mergeCell ref="D11:D15"/>
    <mergeCell ref="E11:F12"/>
    <mergeCell ref="G11:G15"/>
    <mergeCell ref="H11:H15"/>
    <mergeCell ref="I11:L12"/>
    <mergeCell ref="M11:M15"/>
    <mergeCell ref="N11:R12"/>
    <mergeCell ref="S11:V12"/>
    <mergeCell ref="E13:E15"/>
    <mergeCell ref="A24:B24"/>
    <mergeCell ref="S13:S15"/>
    <mergeCell ref="T13:V13"/>
    <mergeCell ref="J14:K14"/>
    <mergeCell ref="L14:L15"/>
    <mergeCell ref="O14:Q14"/>
    <mergeCell ref="R14:R15"/>
    <mergeCell ref="T14:U14"/>
    <mergeCell ref="V14:V15"/>
    <mergeCell ref="F13:F15"/>
    <mergeCell ref="I13:I15"/>
    <mergeCell ref="J13:L13"/>
    <mergeCell ref="N13:N15"/>
    <mergeCell ref="O13:R13"/>
  </mergeCells>
  <phoneticPr fontId="0" type="noConversion"/>
  <pageMargins left="0.4" right="0.4" top="0.4" bottom="0.4" header="0.1" footer="0.1"/>
  <pageSetup paperSize="9" scale="2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4"/>
  <sheetViews>
    <sheetView zoomScale="70" zoomScaleNormal="70" workbookViewId="0">
      <selection activeCell="A12" sqref="A12:A13"/>
    </sheetView>
  </sheetViews>
  <sheetFormatPr defaultRowHeight="19.5" x14ac:dyDescent="0.15"/>
  <cols>
    <col min="1" max="1" width="66.85546875" style="29" customWidth="1"/>
    <col min="2" max="17" width="24.85546875" style="29" customWidth="1"/>
    <col min="18" max="16384" width="9.140625" style="29"/>
  </cols>
  <sheetData>
    <row r="1" spans="1:17" ht="50.1" customHeight="1" x14ac:dyDescent="0.15">
      <c r="A1" s="114" t="s">
        <v>510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0" customHeight="1" x14ac:dyDescent="0.15">
      <c r="A2" s="113" t="s">
        <v>711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ht="30" customHeight="1" x14ac:dyDescent="0.15">
      <c r="Q3" s="26" t="s">
        <v>1</v>
      </c>
    </row>
    <row r="4" spans="1:17" ht="30" customHeight="1" x14ac:dyDescent="0.15">
      <c r="P4" s="31" t="s">
        <v>2</v>
      </c>
      <c r="Q4" s="26" t="s">
        <v>49</v>
      </c>
    </row>
    <row r="5" spans="1:17" ht="30" customHeight="1" x14ac:dyDescent="0.15">
      <c r="P5" s="31" t="s">
        <v>5</v>
      </c>
      <c r="Q5" s="26" t="s">
        <v>6</v>
      </c>
    </row>
    <row r="6" spans="1:17" ht="30" customHeight="1" x14ac:dyDescent="0.15">
      <c r="A6" s="111" t="s">
        <v>3</v>
      </c>
      <c r="B6" s="111"/>
      <c r="C6" s="112" t="s">
        <v>4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P6" s="31" t="s">
        <v>9</v>
      </c>
      <c r="Q6" s="26" t="s">
        <v>10</v>
      </c>
    </row>
    <row r="7" spans="1:17" ht="30" customHeight="1" x14ac:dyDescent="0.15">
      <c r="A7" s="111" t="s">
        <v>50</v>
      </c>
      <c r="B7" s="111"/>
      <c r="C7" s="112" t="s">
        <v>12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P7" s="31" t="s">
        <v>13</v>
      </c>
      <c r="Q7" s="26" t="s">
        <v>14</v>
      </c>
    </row>
    <row r="8" spans="1:17" ht="30" customHeight="1" x14ac:dyDescent="0.15">
      <c r="A8" s="111" t="s">
        <v>15</v>
      </c>
      <c r="B8" s="111"/>
      <c r="C8" s="112" t="s">
        <v>16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P8" s="31" t="s">
        <v>51</v>
      </c>
      <c r="Q8" s="26" t="s">
        <v>18</v>
      </c>
    </row>
    <row r="9" spans="1:17" ht="30" customHeight="1" x14ac:dyDescent="0.15">
      <c r="A9" s="111" t="s">
        <v>19</v>
      </c>
      <c r="B9" s="111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1" t="s">
        <v>20</v>
      </c>
      <c r="Q9" s="26" t="s">
        <v>21</v>
      </c>
    </row>
    <row r="10" spans="1:17" ht="30" customHeight="1" x14ac:dyDescent="0.15"/>
    <row r="11" spans="1:17" ht="50.1" customHeight="1" x14ac:dyDescent="0.15">
      <c r="A11" s="114" t="s">
        <v>511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</row>
    <row r="12" spans="1:17" ht="30" customHeight="1" x14ac:dyDescent="0.15">
      <c r="A12" s="110" t="s">
        <v>455</v>
      </c>
      <c r="B12" s="110" t="s">
        <v>456</v>
      </c>
      <c r="C12" s="110" t="s">
        <v>461</v>
      </c>
      <c r="D12" s="110"/>
      <c r="E12" s="110" t="s">
        <v>54</v>
      </c>
      <c r="F12" s="110" t="s">
        <v>512</v>
      </c>
      <c r="G12" s="110" t="s">
        <v>513</v>
      </c>
      <c r="H12" s="110"/>
      <c r="I12" s="110"/>
      <c r="J12" s="110" t="s">
        <v>514</v>
      </c>
      <c r="K12" s="110"/>
      <c r="L12" s="110" t="s">
        <v>515</v>
      </c>
      <c r="M12" s="110"/>
      <c r="N12" s="110" t="s">
        <v>516</v>
      </c>
      <c r="O12" s="110" t="s">
        <v>517</v>
      </c>
      <c r="P12" s="110"/>
      <c r="Q12" s="110" t="s">
        <v>518</v>
      </c>
    </row>
    <row r="13" spans="1:17" ht="72.75" customHeight="1" x14ac:dyDescent="0.15">
      <c r="A13" s="110"/>
      <c r="B13" s="110"/>
      <c r="C13" s="26" t="s">
        <v>220</v>
      </c>
      <c r="D13" s="26" t="s">
        <v>221</v>
      </c>
      <c r="E13" s="110"/>
      <c r="F13" s="110"/>
      <c r="G13" s="26" t="s">
        <v>220</v>
      </c>
      <c r="H13" s="26" t="s">
        <v>9</v>
      </c>
      <c r="I13" s="26" t="s">
        <v>519</v>
      </c>
      <c r="J13" s="26" t="s">
        <v>520</v>
      </c>
      <c r="K13" s="26" t="s">
        <v>521</v>
      </c>
      <c r="L13" s="26" t="s">
        <v>522</v>
      </c>
      <c r="M13" s="26" t="s">
        <v>523</v>
      </c>
      <c r="N13" s="110"/>
      <c r="O13" s="26" t="s">
        <v>467</v>
      </c>
      <c r="P13" s="26" t="s">
        <v>524</v>
      </c>
      <c r="Q13" s="110"/>
    </row>
    <row r="14" spans="1:17" ht="20.100000000000001" customHeight="1" x14ac:dyDescent="0.15">
      <c r="A14" s="26" t="s">
        <v>60</v>
      </c>
      <c r="B14" s="26" t="s">
        <v>61</v>
      </c>
      <c r="C14" s="26" t="s">
        <v>62</v>
      </c>
      <c r="D14" s="26" t="s">
        <v>63</v>
      </c>
      <c r="E14" s="26" t="s">
        <v>64</v>
      </c>
      <c r="F14" s="26" t="s">
        <v>65</v>
      </c>
      <c r="G14" s="26" t="s">
        <v>151</v>
      </c>
      <c r="H14" s="26" t="s">
        <v>152</v>
      </c>
      <c r="I14" s="26" t="s">
        <v>153</v>
      </c>
      <c r="J14" s="26" t="s">
        <v>154</v>
      </c>
      <c r="K14" s="26" t="s">
        <v>155</v>
      </c>
      <c r="L14" s="26" t="s">
        <v>156</v>
      </c>
      <c r="M14" s="26" t="s">
        <v>157</v>
      </c>
      <c r="N14" s="26" t="s">
        <v>158</v>
      </c>
      <c r="O14" s="26" t="s">
        <v>159</v>
      </c>
      <c r="P14" s="26" t="s">
        <v>160</v>
      </c>
      <c r="Q14" s="26" t="s">
        <v>161</v>
      </c>
    </row>
  </sheetData>
  <mergeCells count="22">
    <mergeCell ref="A1:Q1"/>
    <mergeCell ref="A2:Q2"/>
    <mergeCell ref="A6:B6"/>
    <mergeCell ref="C6:N6"/>
    <mergeCell ref="A7:B7"/>
    <mergeCell ref="C7:N7"/>
    <mergeCell ref="A8:B8"/>
    <mergeCell ref="C8:N8"/>
    <mergeCell ref="A9:B9"/>
    <mergeCell ref="C9:N9"/>
    <mergeCell ref="A11:Q11"/>
    <mergeCell ref="A12:A13"/>
    <mergeCell ref="B12:B13"/>
    <mergeCell ref="C12:D12"/>
    <mergeCell ref="E12:E13"/>
    <mergeCell ref="F12:F13"/>
    <mergeCell ref="Q12:Q13"/>
    <mergeCell ref="G12:I12"/>
    <mergeCell ref="J12:K12"/>
    <mergeCell ref="L12:M12"/>
    <mergeCell ref="N12:N13"/>
    <mergeCell ref="O12:P12"/>
  </mergeCells>
  <phoneticPr fontId="0" type="noConversion"/>
  <pageMargins left="0.4" right="0.4" top="0.4" bottom="0.4" header="0.1" footer="0.1"/>
  <pageSetup paperSize="9" scale="3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0"/>
  <sheetViews>
    <sheetView workbookViewId="0">
      <selection sqref="A1:XFD1048576"/>
    </sheetView>
  </sheetViews>
  <sheetFormatPr defaultRowHeight="19.5" x14ac:dyDescent="0.15"/>
  <cols>
    <col min="1" max="1" width="66.85546875" style="29" customWidth="1"/>
    <col min="2" max="17" width="24.85546875" style="29" customWidth="1"/>
    <col min="18" max="16384" width="9.140625" style="29"/>
  </cols>
  <sheetData>
    <row r="1" spans="1:17" ht="50.1" customHeight="1" x14ac:dyDescent="0.15">
      <c r="A1" s="114" t="s">
        <v>525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0" customHeight="1" x14ac:dyDescent="0.15">
      <c r="A2" s="110" t="s">
        <v>455</v>
      </c>
      <c r="B2" s="110" t="s">
        <v>456</v>
      </c>
      <c r="C2" s="110" t="s">
        <v>461</v>
      </c>
      <c r="D2" s="110"/>
      <c r="E2" s="110" t="s">
        <v>54</v>
      </c>
      <c r="F2" s="110" t="s">
        <v>512</v>
      </c>
      <c r="G2" s="110" t="s">
        <v>513</v>
      </c>
      <c r="H2" s="110"/>
      <c r="I2" s="110"/>
      <c r="J2" s="110" t="s">
        <v>526</v>
      </c>
      <c r="K2" s="110" t="s">
        <v>515</v>
      </c>
      <c r="L2" s="110"/>
      <c r="M2" s="110"/>
      <c r="N2" s="110" t="s">
        <v>527</v>
      </c>
      <c r="O2" s="110" t="s">
        <v>517</v>
      </c>
      <c r="P2" s="110"/>
      <c r="Q2" s="110" t="s">
        <v>518</v>
      </c>
    </row>
    <row r="3" spans="1:17" ht="30" customHeight="1" x14ac:dyDescent="0.15">
      <c r="A3" s="110"/>
      <c r="B3" s="110"/>
      <c r="C3" s="26" t="s">
        <v>220</v>
      </c>
      <c r="D3" s="26" t="s">
        <v>221</v>
      </c>
      <c r="E3" s="110"/>
      <c r="F3" s="110"/>
      <c r="G3" s="26" t="s">
        <v>220</v>
      </c>
      <c r="H3" s="26" t="s">
        <v>9</v>
      </c>
      <c r="I3" s="26" t="s">
        <v>519</v>
      </c>
      <c r="J3" s="110"/>
      <c r="K3" s="26" t="s">
        <v>528</v>
      </c>
      <c r="L3" s="26" t="s">
        <v>529</v>
      </c>
      <c r="M3" s="26" t="s">
        <v>530</v>
      </c>
      <c r="N3" s="110"/>
      <c r="O3" s="26" t="s">
        <v>467</v>
      </c>
      <c r="P3" s="26" t="s">
        <v>524</v>
      </c>
      <c r="Q3" s="110"/>
    </row>
    <row r="4" spans="1:17" ht="20.100000000000001" customHeight="1" x14ac:dyDescent="0.15">
      <c r="A4" s="26" t="s">
        <v>60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6" t="s">
        <v>151</v>
      </c>
      <c r="H4" s="26" t="s">
        <v>152</v>
      </c>
      <c r="I4" s="26" t="s">
        <v>153</v>
      </c>
      <c r="J4" s="26" t="s">
        <v>154</v>
      </c>
      <c r="K4" s="26" t="s">
        <v>155</v>
      </c>
      <c r="L4" s="26" t="s">
        <v>156</v>
      </c>
      <c r="M4" s="26" t="s">
        <v>157</v>
      </c>
      <c r="N4" s="26" t="s">
        <v>158</v>
      </c>
      <c r="O4" s="26" t="s">
        <v>159</v>
      </c>
      <c r="P4" s="26" t="s">
        <v>160</v>
      </c>
      <c r="Q4" s="26" t="s">
        <v>161</v>
      </c>
    </row>
    <row r="5" spans="1:17" ht="15" customHeight="1" x14ac:dyDescent="0.15"/>
    <row r="6" spans="1:17" ht="39.950000000000003" customHeight="1" x14ac:dyDescent="0.15">
      <c r="A6" s="32" t="s">
        <v>42</v>
      </c>
      <c r="B6" s="33"/>
      <c r="D6" s="33"/>
      <c r="F6" s="33"/>
    </row>
    <row r="7" spans="1:17" ht="20.100000000000001" customHeight="1" x14ac:dyDescent="0.15">
      <c r="B7" s="30" t="s">
        <v>43</v>
      </c>
      <c r="D7" s="30" t="s">
        <v>206</v>
      </c>
      <c r="F7" s="30" t="s">
        <v>44</v>
      </c>
    </row>
    <row r="8" spans="1:17" ht="39.950000000000003" customHeight="1" x14ac:dyDescent="0.15">
      <c r="A8" s="32" t="s">
        <v>45</v>
      </c>
      <c r="B8" s="33"/>
      <c r="D8" s="33"/>
      <c r="F8" s="33"/>
    </row>
    <row r="9" spans="1:17" ht="20.100000000000001" customHeight="1" x14ac:dyDescent="0.15">
      <c r="B9" s="30" t="s">
        <v>43</v>
      </c>
      <c r="D9" s="30" t="s">
        <v>276</v>
      </c>
      <c r="F9" s="30" t="s">
        <v>46</v>
      </c>
    </row>
    <row r="10" spans="1:17" ht="20.100000000000001" customHeight="1" x14ac:dyDescent="0.15">
      <c r="A10" s="111" t="s">
        <v>47</v>
      </c>
      <c r="B10" s="111"/>
    </row>
  </sheetData>
  <mergeCells count="13">
    <mergeCell ref="A10:B10"/>
    <mergeCell ref="A1:Q1"/>
    <mergeCell ref="A2:A3"/>
    <mergeCell ref="B2:B3"/>
    <mergeCell ref="C2:D2"/>
    <mergeCell ref="E2:E3"/>
    <mergeCell ref="F2:F3"/>
    <mergeCell ref="G2:I2"/>
    <mergeCell ref="J2:J3"/>
    <mergeCell ref="K2:M2"/>
    <mergeCell ref="N2:N3"/>
    <mergeCell ref="O2:P2"/>
    <mergeCell ref="Q2:Q3"/>
  </mergeCells>
  <phoneticPr fontId="0" type="noConversion"/>
  <pageMargins left="0.4" right="0.4" top="0.4" bottom="0.4" header="0.1" footer="0.1"/>
  <pageSetup paperSize="9" scale="3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19"/>
  <sheetViews>
    <sheetView workbookViewId="0">
      <selection sqref="A1:XFD1048576"/>
    </sheetView>
  </sheetViews>
  <sheetFormatPr defaultRowHeight="19.5" x14ac:dyDescent="0.15"/>
  <cols>
    <col min="1" max="1" width="66.85546875" style="29" customWidth="1"/>
    <col min="2" max="15" width="24.85546875" style="29" customWidth="1"/>
    <col min="16" max="16384" width="9.140625" style="29"/>
  </cols>
  <sheetData>
    <row r="1" spans="1:15" ht="50.1" customHeight="1" x14ac:dyDescent="0.15">
      <c r="A1" s="114" t="s">
        <v>531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30" customHeight="1" x14ac:dyDescent="0.15">
      <c r="A2" s="113" t="s">
        <v>711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1:15" ht="30" customHeight="1" x14ac:dyDescent="0.15">
      <c r="O3" s="26" t="s">
        <v>1</v>
      </c>
    </row>
    <row r="4" spans="1:15" ht="30" customHeight="1" x14ac:dyDescent="0.15">
      <c r="N4" s="31" t="s">
        <v>2</v>
      </c>
      <c r="O4" s="26" t="s">
        <v>49</v>
      </c>
    </row>
    <row r="5" spans="1:15" ht="30" customHeight="1" x14ac:dyDescent="0.15">
      <c r="N5" s="31" t="s">
        <v>5</v>
      </c>
      <c r="O5" s="26" t="s">
        <v>6</v>
      </c>
    </row>
    <row r="6" spans="1:15" ht="30" customHeight="1" x14ac:dyDescent="0.15">
      <c r="A6" s="111" t="s">
        <v>3</v>
      </c>
      <c r="B6" s="111"/>
      <c r="C6" s="112" t="s">
        <v>4</v>
      </c>
      <c r="D6" s="112"/>
      <c r="E6" s="112"/>
      <c r="F6" s="112"/>
      <c r="G6" s="112"/>
      <c r="H6" s="112"/>
      <c r="I6" s="112"/>
      <c r="J6" s="112"/>
      <c r="K6" s="112"/>
      <c r="L6" s="112"/>
      <c r="N6" s="31" t="s">
        <v>9</v>
      </c>
      <c r="O6" s="26" t="s">
        <v>10</v>
      </c>
    </row>
    <row r="7" spans="1:15" ht="30" customHeight="1" x14ac:dyDescent="0.15">
      <c r="A7" s="111" t="s">
        <v>50</v>
      </c>
      <c r="B7" s="111"/>
      <c r="C7" s="112" t="s">
        <v>12</v>
      </c>
      <c r="D7" s="112"/>
      <c r="E7" s="112"/>
      <c r="F7" s="112"/>
      <c r="G7" s="112"/>
      <c r="H7" s="112"/>
      <c r="I7" s="112"/>
      <c r="J7" s="112"/>
      <c r="K7" s="112"/>
      <c r="L7" s="112"/>
      <c r="N7" s="31" t="s">
        <v>13</v>
      </c>
      <c r="O7" s="26" t="s">
        <v>14</v>
      </c>
    </row>
    <row r="8" spans="1:15" ht="30" customHeight="1" x14ac:dyDescent="0.15">
      <c r="A8" s="111" t="s">
        <v>15</v>
      </c>
      <c r="B8" s="111"/>
      <c r="C8" s="112" t="s">
        <v>16</v>
      </c>
      <c r="D8" s="112"/>
      <c r="E8" s="112"/>
      <c r="F8" s="112"/>
      <c r="G8" s="112"/>
      <c r="H8" s="112"/>
      <c r="I8" s="112"/>
      <c r="J8" s="112"/>
      <c r="K8" s="112"/>
      <c r="L8" s="112"/>
      <c r="N8" s="31" t="s">
        <v>51</v>
      </c>
      <c r="O8" s="26" t="s">
        <v>18</v>
      </c>
    </row>
    <row r="9" spans="1:15" ht="30" customHeight="1" x14ac:dyDescent="0.15">
      <c r="A9" s="111" t="s">
        <v>19</v>
      </c>
      <c r="B9" s="111"/>
      <c r="C9" s="113"/>
      <c r="D9" s="113"/>
      <c r="E9" s="113"/>
      <c r="F9" s="113"/>
      <c r="G9" s="113"/>
      <c r="H9" s="113"/>
      <c r="I9" s="113"/>
      <c r="J9" s="113"/>
      <c r="K9" s="113"/>
      <c r="L9" s="113"/>
      <c r="N9" s="31" t="s">
        <v>20</v>
      </c>
      <c r="O9" s="26" t="s">
        <v>21</v>
      </c>
    </row>
    <row r="10" spans="1:15" ht="30" customHeight="1" x14ac:dyDescent="0.15"/>
    <row r="11" spans="1:15" ht="30" customHeight="1" x14ac:dyDescent="0.15">
      <c r="A11" s="110" t="s">
        <v>455</v>
      </c>
      <c r="B11" s="110" t="s">
        <v>456</v>
      </c>
      <c r="C11" s="110" t="s">
        <v>461</v>
      </c>
      <c r="D11" s="110"/>
      <c r="E11" s="110" t="s">
        <v>54</v>
      </c>
      <c r="F11" s="110" t="s">
        <v>532</v>
      </c>
      <c r="G11" s="110" t="s">
        <v>533</v>
      </c>
      <c r="H11" s="110"/>
      <c r="I11" s="110"/>
      <c r="J11" s="110" t="s">
        <v>514</v>
      </c>
      <c r="K11" s="110"/>
      <c r="L11" s="110" t="s">
        <v>527</v>
      </c>
      <c r="M11" s="110" t="s">
        <v>534</v>
      </c>
      <c r="N11" s="110"/>
      <c r="O11" s="110" t="s">
        <v>535</v>
      </c>
    </row>
    <row r="12" spans="1:15" ht="30" customHeight="1" x14ac:dyDescent="0.15">
      <c r="A12" s="110"/>
      <c r="B12" s="110"/>
      <c r="C12" s="26" t="s">
        <v>220</v>
      </c>
      <c r="D12" s="26" t="s">
        <v>221</v>
      </c>
      <c r="E12" s="110"/>
      <c r="F12" s="110"/>
      <c r="G12" s="26" t="s">
        <v>220</v>
      </c>
      <c r="H12" s="26" t="s">
        <v>9</v>
      </c>
      <c r="I12" s="26" t="s">
        <v>519</v>
      </c>
      <c r="J12" s="26" t="s">
        <v>520</v>
      </c>
      <c r="K12" s="26" t="s">
        <v>521</v>
      </c>
      <c r="L12" s="110" t="s">
        <v>536</v>
      </c>
      <c r="M12" s="26" t="s">
        <v>467</v>
      </c>
      <c r="N12" s="26" t="s">
        <v>524</v>
      </c>
      <c r="O12" s="110"/>
    </row>
    <row r="13" spans="1:15" ht="20.100000000000001" customHeight="1" x14ac:dyDescent="0.15">
      <c r="A13" s="26" t="s">
        <v>60</v>
      </c>
      <c r="B13" s="26" t="s">
        <v>61</v>
      </c>
      <c r="C13" s="26" t="s">
        <v>62</v>
      </c>
      <c r="D13" s="26" t="s">
        <v>63</v>
      </c>
      <c r="E13" s="26" t="s">
        <v>64</v>
      </c>
      <c r="F13" s="26" t="s">
        <v>65</v>
      </c>
      <c r="G13" s="26" t="s">
        <v>151</v>
      </c>
      <c r="H13" s="26" t="s">
        <v>152</v>
      </c>
      <c r="I13" s="26" t="s">
        <v>153</v>
      </c>
      <c r="J13" s="26" t="s">
        <v>154</v>
      </c>
      <c r="K13" s="26" t="s">
        <v>155</v>
      </c>
      <c r="L13" s="26" t="s">
        <v>156</v>
      </c>
      <c r="M13" s="26" t="s">
        <v>157</v>
      </c>
      <c r="N13" s="26" t="s">
        <v>158</v>
      </c>
      <c r="O13" s="26" t="s">
        <v>159</v>
      </c>
    </row>
    <row r="14" spans="1:15" ht="15" customHeight="1" x14ac:dyDescent="0.15"/>
    <row r="15" spans="1:15" ht="39.950000000000003" customHeight="1" x14ac:dyDescent="0.15">
      <c r="A15" s="32" t="s">
        <v>42</v>
      </c>
      <c r="B15" s="33"/>
      <c r="D15" s="33"/>
      <c r="F15" s="33"/>
    </row>
    <row r="16" spans="1:15" ht="20.100000000000001" customHeight="1" x14ac:dyDescent="0.15">
      <c r="B16" s="30" t="s">
        <v>43</v>
      </c>
      <c r="D16" s="30" t="s">
        <v>206</v>
      </c>
      <c r="F16" s="30" t="s">
        <v>44</v>
      </c>
    </row>
    <row r="17" spans="1:6" ht="39.950000000000003" customHeight="1" x14ac:dyDescent="0.15">
      <c r="A17" s="32" t="s">
        <v>45</v>
      </c>
      <c r="B17" s="33"/>
      <c r="D17" s="33"/>
      <c r="F17" s="33"/>
    </row>
    <row r="18" spans="1:6" ht="20.100000000000001" customHeight="1" x14ac:dyDescent="0.15">
      <c r="B18" s="30" t="s">
        <v>43</v>
      </c>
      <c r="D18" s="30" t="s">
        <v>276</v>
      </c>
      <c r="F18" s="30" t="s">
        <v>46</v>
      </c>
    </row>
    <row r="19" spans="1:6" ht="20.100000000000001" customHeight="1" x14ac:dyDescent="0.15">
      <c r="A19" s="111" t="s">
        <v>47</v>
      </c>
      <c r="B19" s="111"/>
    </row>
  </sheetData>
  <mergeCells count="21">
    <mergeCell ref="A1:O1"/>
    <mergeCell ref="A2:O2"/>
    <mergeCell ref="A6:B6"/>
    <mergeCell ref="C6:L6"/>
    <mergeCell ref="A7:B7"/>
    <mergeCell ref="C7:L7"/>
    <mergeCell ref="M11:N11"/>
    <mergeCell ref="O11:O12"/>
    <mergeCell ref="A19:B19"/>
    <mergeCell ref="A8:B8"/>
    <mergeCell ref="C8:L8"/>
    <mergeCell ref="A9:B9"/>
    <mergeCell ref="C9:L9"/>
    <mergeCell ref="A11:A12"/>
    <mergeCell ref="B11:B12"/>
    <mergeCell ref="C11:D11"/>
    <mergeCell ref="E11:E12"/>
    <mergeCell ref="F11:F12"/>
    <mergeCell ref="G11:I11"/>
    <mergeCell ref="J11:K11"/>
    <mergeCell ref="L11:L12"/>
  </mergeCells>
  <phoneticPr fontId="0" type="noConversion"/>
  <pageMargins left="0.4" right="0.4" top="0.4" bottom="0.4" header="0.1" footer="0.1"/>
  <pageSetup paperSize="9" scale="3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4"/>
  <sheetViews>
    <sheetView topLeftCell="A12" zoomScale="80" zoomScaleNormal="80" workbookViewId="0">
      <selection activeCell="A12" sqref="A1:XFD1048576"/>
    </sheetView>
  </sheetViews>
  <sheetFormatPr defaultRowHeight="18" x14ac:dyDescent="0.15"/>
  <cols>
    <col min="1" max="1" width="66.85546875" style="13" customWidth="1"/>
    <col min="2" max="10" width="24.85546875" style="13" customWidth="1"/>
    <col min="11" max="16384" width="9.140625" style="13"/>
  </cols>
  <sheetData>
    <row r="1" spans="1:10" x14ac:dyDescent="0.15">
      <c r="A1" s="116" t="s">
        <v>537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15">
      <c r="A2" s="126" t="s">
        <v>711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15">
      <c r="J3" s="14" t="s">
        <v>1</v>
      </c>
    </row>
    <row r="4" spans="1:10" x14ac:dyDescent="0.15">
      <c r="I4" s="23" t="s">
        <v>2</v>
      </c>
      <c r="J4" s="14" t="s">
        <v>49</v>
      </c>
    </row>
    <row r="5" spans="1:10" ht="36" x14ac:dyDescent="0.15">
      <c r="I5" s="23" t="s">
        <v>5</v>
      </c>
      <c r="J5" s="14" t="s">
        <v>6</v>
      </c>
    </row>
    <row r="6" spans="1:10" x14ac:dyDescent="0.15">
      <c r="A6" s="117" t="s">
        <v>3</v>
      </c>
      <c r="B6" s="117"/>
      <c r="C6" s="125" t="s">
        <v>4</v>
      </c>
      <c r="D6" s="125"/>
      <c r="E6" s="125"/>
      <c r="F6" s="125"/>
      <c r="G6" s="125"/>
      <c r="I6" s="23" t="s">
        <v>9</v>
      </c>
      <c r="J6" s="14" t="s">
        <v>10</v>
      </c>
    </row>
    <row r="7" spans="1:10" x14ac:dyDescent="0.15">
      <c r="A7" s="117" t="s">
        <v>50</v>
      </c>
      <c r="B7" s="117"/>
      <c r="C7" s="125" t="s">
        <v>12</v>
      </c>
      <c r="D7" s="125"/>
      <c r="E7" s="125"/>
      <c r="F7" s="125"/>
      <c r="G7" s="125"/>
      <c r="I7" s="23" t="s">
        <v>13</v>
      </c>
      <c r="J7" s="14" t="s">
        <v>14</v>
      </c>
    </row>
    <row r="8" spans="1:10" x14ac:dyDescent="0.15">
      <c r="A8" s="117" t="s">
        <v>15</v>
      </c>
      <c r="B8" s="117"/>
      <c r="C8" s="125" t="s">
        <v>16</v>
      </c>
      <c r="D8" s="125"/>
      <c r="E8" s="125"/>
      <c r="F8" s="125"/>
      <c r="G8" s="125"/>
      <c r="I8" s="23" t="s">
        <v>51</v>
      </c>
      <c r="J8" s="14" t="s">
        <v>18</v>
      </c>
    </row>
    <row r="9" spans="1:10" x14ac:dyDescent="0.15">
      <c r="A9" s="117" t="s">
        <v>19</v>
      </c>
      <c r="B9" s="117"/>
      <c r="C9" s="126"/>
      <c r="D9" s="126"/>
      <c r="E9" s="126"/>
      <c r="F9" s="126"/>
      <c r="G9" s="126"/>
      <c r="I9" s="23" t="s">
        <v>20</v>
      </c>
      <c r="J9" s="14" t="s">
        <v>21</v>
      </c>
    </row>
    <row r="11" spans="1:10" x14ac:dyDescent="0.15">
      <c r="A11" s="116" t="s">
        <v>538</v>
      </c>
      <c r="B11" s="116"/>
      <c r="C11" s="116"/>
      <c r="D11" s="116"/>
      <c r="E11" s="116"/>
      <c r="F11" s="116"/>
      <c r="G11" s="116"/>
      <c r="H11" s="116"/>
      <c r="I11" s="116"/>
      <c r="J11" s="116"/>
    </row>
    <row r="12" spans="1:10" x14ac:dyDescent="0.15">
      <c r="A12" s="115" t="s">
        <v>539</v>
      </c>
      <c r="B12" s="115" t="s">
        <v>54</v>
      </c>
      <c r="C12" s="115" t="s">
        <v>540</v>
      </c>
      <c r="D12" s="115"/>
      <c r="E12" s="115"/>
      <c r="F12" s="115"/>
      <c r="G12" s="115"/>
      <c r="H12" s="115"/>
      <c r="I12" s="115"/>
      <c r="J12" s="115"/>
    </row>
    <row r="13" spans="1:10" x14ac:dyDescent="0.15">
      <c r="A13" s="115"/>
      <c r="B13" s="115"/>
      <c r="C13" s="115" t="s">
        <v>216</v>
      </c>
      <c r="D13" s="115" t="s">
        <v>295</v>
      </c>
      <c r="E13" s="115"/>
      <c r="F13" s="115"/>
      <c r="G13" s="115"/>
      <c r="H13" s="115"/>
      <c r="I13" s="115"/>
      <c r="J13" s="115"/>
    </row>
    <row r="14" spans="1:10" x14ac:dyDescent="0.15">
      <c r="A14" s="115"/>
      <c r="B14" s="115"/>
      <c r="C14" s="115"/>
      <c r="D14" s="115" t="s">
        <v>541</v>
      </c>
      <c r="E14" s="115" t="s">
        <v>542</v>
      </c>
      <c r="F14" s="115"/>
      <c r="G14" s="115"/>
      <c r="H14" s="115" t="s">
        <v>543</v>
      </c>
      <c r="I14" s="115"/>
      <c r="J14" s="115"/>
    </row>
    <row r="15" spans="1:10" x14ac:dyDescent="0.15">
      <c r="A15" s="115"/>
      <c r="B15" s="115"/>
      <c r="C15" s="115"/>
      <c r="D15" s="115"/>
      <c r="E15" s="115" t="s">
        <v>216</v>
      </c>
      <c r="F15" s="115" t="s">
        <v>295</v>
      </c>
      <c r="G15" s="115"/>
      <c r="H15" s="115" t="s">
        <v>544</v>
      </c>
      <c r="I15" s="115" t="s">
        <v>545</v>
      </c>
      <c r="J15" s="115"/>
    </row>
    <row r="16" spans="1:10" ht="36" x14ac:dyDescent="0.15">
      <c r="A16" s="115"/>
      <c r="B16" s="115"/>
      <c r="C16" s="115"/>
      <c r="D16" s="115"/>
      <c r="E16" s="115"/>
      <c r="F16" s="14" t="s">
        <v>546</v>
      </c>
      <c r="G16" s="14" t="s">
        <v>547</v>
      </c>
      <c r="H16" s="115"/>
      <c r="I16" s="14" t="s">
        <v>216</v>
      </c>
      <c r="J16" s="14" t="s">
        <v>548</v>
      </c>
    </row>
    <row r="17" spans="1:10" x14ac:dyDescent="0.15">
      <c r="A17" s="14" t="s">
        <v>60</v>
      </c>
      <c r="B17" s="14" t="s">
        <v>61</v>
      </c>
      <c r="C17" s="14" t="s">
        <v>62</v>
      </c>
      <c r="D17" s="14" t="s">
        <v>63</v>
      </c>
      <c r="E17" s="14" t="s">
        <v>64</v>
      </c>
      <c r="F17" s="14" t="s">
        <v>65</v>
      </c>
      <c r="G17" s="14" t="s">
        <v>151</v>
      </c>
      <c r="H17" s="14" t="s">
        <v>152</v>
      </c>
      <c r="I17" s="14" t="s">
        <v>153</v>
      </c>
      <c r="J17" s="14" t="s">
        <v>154</v>
      </c>
    </row>
    <row r="18" spans="1:10" ht="54" x14ac:dyDescent="0.15">
      <c r="A18" s="24" t="s">
        <v>549</v>
      </c>
      <c r="B18" s="18" t="s">
        <v>121</v>
      </c>
      <c r="C18" s="19">
        <f t="shared" ref="C18:C34" si="0">D18+E18+H18+I18</f>
        <v>2</v>
      </c>
      <c r="D18" s="19">
        <v>2</v>
      </c>
      <c r="E18" s="19">
        <f t="shared" ref="E18:E34" si="1">F18+G18</f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</row>
    <row r="19" spans="1:10" ht="36" x14ac:dyDescent="0.15">
      <c r="A19" s="15" t="s">
        <v>550</v>
      </c>
      <c r="B19" s="14" t="s">
        <v>123</v>
      </c>
      <c r="C19" s="16">
        <f t="shared" si="0"/>
        <v>2</v>
      </c>
      <c r="D19" s="16">
        <v>2</v>
      </c>
      <c r="E19" s="16">
        <f t="shared" si="1"/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ht="72" x14ac:dyDescent="0.15">
      <c r="A20" s="15" t="s">
        <v>551</v>
      </c>
      <c r="B20" s="14" t="s">
        <v>552</v>
      </c>
      <c r="C20" s="16">
        <f t="shared" si="0"/>
        <v>2</v>
      </c>
      <c r="D20" s="16">
        <v>2</v>
      </c>
      <c r="E20" s="16">
        <f t="shared" si="1"/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x14ac:dyDescent="0.15">
      <c r="A21" s="15" t="s">
        <v>553</v>
      </c>
      <c r="B21" s="14" t="s">
        <v>125</v>
      </c>
      <c r="C21" s="16">
        <f t="shared" si="0"/>
        <v>0</v>
      </c>
      <c r="D21" s="16">
        <v>0</v>
      </c>
      <c r="E21" s="16">
        <f t="shared" si="1"/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15">
      <c r="A22" s="24" t="s">
        <v>554</v>
      </c>
      <c r="B22" s="18" t="s">
        <v>244</v>
      </c>
      <c r="C22" s="19">
        <f t="shared" si="0"/>
        <v>60</v>
      </c>
      <c r="D22" s="19">
        <v>60</v>
      </c>
      <c r="E22" s="19">
        <f t="shared" si="1"/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1:10" ht="36" x14ac:dyDescent="0.15">
      <c r="A23" s="15" t="s">
        <v>550</v>
      </c>
      <c r="B23" s="14" t="s">
        <v>246</v>
      </c>
      <c r="C23" s="16">
        <f t="shared" si="0"/>
        <v>60</v>
      </c>
      <c r="D23" s="16">
        <v>60</v>
      </c>
      <c r="E23" s="16">
        <f t="shared" si="1"/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72" x14ac:dyDescent="0.15">
      <c r="A24" s="15" t="s">
        <v>551</v>
      </c>
      <c r="B24" s="14" t="s">
        <v>555</v>
      </c>
      <c r="C24" s="16">
        <f t="shared" si="0"/>
        <v>60</v>
      </c>
      <c r="D24" s="16">
        <v>60</v>
      </c>
      <c r="E24" s="16">
        <f t="shared" si="1"/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15">
      <c r="A25" s="15" t="s">
        <v>553</v>
      </c>
      <c r="B25" s="14" t="s">
        <v>248</v>
      </c>
      <c r="C25" s="16">
        <f t="shared" si="0"/>
        <v>0</v>
      </c>
      <c r="D25" s="16">
        <v>0</v>
      </c>
      <c r="E25" s="16">
        <f t="shared" si="1"/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36" x14ac:dyDescent="0.15">
      <c r="A26" s="24" t="s">
        <v>556</v>
      </c>
      <c r="B26" s="18" t="s">
        <v>309</v>
      </c>
      <c r="C26" s="19">
        <f t="shared" si="0"/>
        <v>91</v>
      </c>
      <c r="D26" s="19">
        <v>91</v>
      </c>
      <c r="E26" s="19">
        <f t="shared" si="1"/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</row>
    <row r="27" spans="1:10" ht="36" x14ac:dyDescent="0.15">
      <c r="A27" s="15" t="s">
        <v>550</v>
      </c>
      <c r="B27" s="14" t="s">
        <v>311</v>
      </c>
      <c r="C27" s="16">
        <f t="shared" si="0"/>
        <v>91</v>
      </c>
      <c r="D27" s="16">
        <v>91</v>
      </c>
      <c r="E27" s="16">
        <f t="shared" si="1"/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72" x14ac:dyDescent="0.15">
      <c r="A28" s="15" t="s">
        <v>551</v>
      </c>
      <c r="B28" s="14" t="s">
        <v>557</v>
      </c>
      <c r="C28" s="16">
        <f t="shared" si="0"/>
        <v>91</v>
      </c>
      <c r="D28" s="16">
        <v>91</v>
      </c>
      <c r="E28" s="16">
        <f t="shared" si="1"/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0" x14ac:dyDescent="0.15">
      <c r="A29" s="15" t="s">
        <v>553</v>
      </c>
      <c r="B29" s="14" t="s">
        <v>313</v>
      </c>
      <c r="C29" s="16">
        <f t="shared" si="0"/>
        <v>0</v>
      </c>
      <c r="D29" s="16">
        <v>0</v>
      </c>
      <c r="E29" s="16">
        <f t="shared" si="1"/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x14ac:dyDescent="0.15">
      <c r="A30" s="24" t="s">
        <v>558</v>
      </c>
      <c r="B30" s="18" t="s">
        <v>325</v>
      </c>
      <c r="C30" s="19">
        <f t="shared" si="0"/>
        <v>0</v>
      </c>
      <c r="D30" s="19">
        <v>0</v>
      </c>
      <c r="E30" s="19">
        <f t="shared" si="1"/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</row>
    <row r="31" spans="1:10" ht="36" x14ac:dyDescent="0.15">
      <c r="A31" s="15" t="s">
        <v>550</v>
      </c>
      <c r="B31" s="14" t="s">
        <v>327</v>
      </c>
      <c r="C31" s="16">
        <f t="shared" si="0"/>
        <v>0</v>
      </c>
      <c r="D31" s="16">
        <v>0</v>
      </c>
      <c r="E31" s="16">
        <f t="shared" si="1"/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</row>
    <row r="32" spans="1:10" ht="72" x14ac:dyDescent="0.15">
      <c r="A32" s="15" t="s">
        <v>551</v>
      </c>
      <c r="B32" s="14" t="s">
        <v>559</v>
      </c>
      <c r="C32" s="16">
        <f t="shared" si="0"/>
        <v>0</v>
      </c>
      <c r="D32" s="16">
        <v>0</v>
      </c>
      <c r="E32" s="16">
        <f t="shared" si="1"/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</row>
    <row r="33" spans="1:10" x14ac:dyDescent="0.15">
      <c r="A33" s="15" t="s">
        <v>553</v>
      </c>
      <c r="B33" s="14" t="s">
        <v>560</v>
      </c>
      <c r="C33" s="16">
        <f t="shared" si="0"/>
        <v>0</v>
      </c>
      <c r="D33" s="16">
        <v>0</v>
      </c>
      <c r="E33" s="16">
        <f t="shared" si="1"/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1:10" x14ac:dyDescent="0.15">
      <c r="A34" s="17" t="s">
        <v>132</v>
      </c>
      <c r="B34" s="18" t="s">
        <v>133</v>
      </c>
      <c r="C34" s="19">
        <f t="shared" si="0"/>
        <v>153</v>
      </c>
      <c r="D34" s="19">
        <v>153</v>
      </c>
      <c r="E34" s="19">
        <f t="shared" si="1"/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</row>
  </sheetData>
  <mergeCells count="23">
    <mergeCell ref="A1:J1"/>
    <mergeCell ref="A2:J2"/>
    <mergeCell ref="A6:B6"/>
    <mergeCell ref="C6:G6"/>
    <mergeCell ref="A7:B7"/>
    <mergeCell ref="C7:G7"/>
    <mergeCell ref="A8:B8"/>
    <mergeCell ref="C8:G8"/>
    <mergeCell ref="A9:B9"/>
    <mergeCell ref="C9:G9"/>
    <mergeCell ref="A11:J11"/>
    <mergeCell ref="A12:A16"/>
    <mergeCell ref="B12:B16"/>
    <mergeCell ref="C12:J12"/>
    <mergeCell ref="C13:C16"/>
    <mergeCell ref="D13:J13"/>
    <mergeCell ref="D14:D16"/>
    <mergeCell ref="E14:G14"/>
    <mergeCell ref="H14:J14"/>
    <mergeCell ref="E15:E16"/>
    <mergeCell ref="F15:G15"/>
    <mergeCell ref="H15:H16"/>
    <mergeCell ref="I15:J15"/>
  </mergeCells>
  <phoneticPr fontId="0" type="noConversion"/>
  <pageMargins left="0.4" right="0.4" top="0.4" bottom="0.4" header="0.1" footer="0.1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F49"/>
  <sheetViews>
    <sheetView topLeftCell="A10" zoomScale="77" zoomScaleNormal="77" workbookViewId="0">
      <selection activeCell="B60" sqref="B60"/>
    </sheetView>
  </sheetViews>
  <sheetFormatPr defaultRowHeight="10.5" x14ac:dyDescent="0.15"/>
  <cols>
    <col min="1" max="1" width="76.42578125" customWidth="1"/>
    <col min="2" max="2" width="22.85546875" customWidth="1"/>
    <col min="3" max="6" width="28.7109375" customWidth="1"/>
  </cols>
  <sheetData>
    <row r="1" spans="1:6" ht="50.1" customHeight="1" x14ac:dyDescent="0.15">
      <c r="A1" s="97" t="s">
        <v>48</v>
      </c>
      <c r="B1" s="97"/>
      <c r="C1" s="97"/>
      <c r="D1" s="97"/>
      <c r="E1" s="97"/>
      <c r="F1" s="97"/>
    </row>
    <row r="2" spans="1:6" ht="50.1" customHeight="1" x14ac:dyDescent="0.15">
      <c r="A2" s="97" t="s">
        <v>23</v>
      </c>
      <c r="B2" s="97"/>
      <c r="C2" s="97"/>
      <c r="D2" s="97"/>
      <c r="E2" s="97"/>
      <c r="F2" s="97"/>
    </row>
    <row r="3" spans="1:6" ht="30" customHeight="1" x14ac:dyDescent="0.15">
      <c r="A3" s="102" t="s">
        <v>711</v>
      </c>
      <c r="B3" s="99"/>
      <c r="C3" s="99"/>
      <c r="D3" s="99"/>
      <c r="E3" s="99"/>
      <c r="F3" s="99"/>
    </row>
    <row r="4" spans="1:6" ht="30" customHeight="1" x14ac:dyDescent="0.15">
      <c r="F4" s="1" t="s">
        <v>1</v>
      </c>
    </row>
    <row r="5" spans="1:6" ht="30" customHeight="1" x14ac:dyDescent="0.15">
      <c r="E5" s="8" t="s">
        <v>2</v>
      </c>
      <c r="F5" s="81">
        <v>45658</v>
      </c>
    </row>
    <row r="6" spans="1:6" ht="30" customHeight="1" x14ac:dyDescent="0.15">
      <c r="E6" s="8" t="s">
        <v>5</v>
      </c>
      <c r="F6" s="1" t="s">
        <v>6</v>
      </c>
    </row>
    <row r="7" spans="1:6" ht="30" customHeight="1" x14ac:dyDescent="0.15">
      <c r="A7" s="5" t="s">
        <v>3</v>
      </c>
      <c r="B7" s="98" t="s">
        <v>4</v>
      </c>
      <c r="C7" s="98"/>
      <c r="D7" s="98"/>
      <c r="E7" s="8" t="s">
        <v>9</v>
      </c>
      <c r="F7" s="1" t="s">
        <v>10</v>
      </c>
    </row>
    <row r="8" spans="1:6" ht="30" customHeight="1" x14ac:dyDescent="0.15">
      <c r="A8" s="5" t="s">
        <v>50</v>
      </c>
      <c r="B8" s="98" t="s">
        <v>12</v>
      </c>
      <c r="C8" s="98"/>
      <c r="D8" s="98"/>
      <c r="E8" s="8" t="s">
        <v>13</v>
      </c>
      <c r="F8" s="1" t="s">
        <v>14</v>
      </c>
    </row>
    <row r="9" spans="1:6" ht="30" customHeight="1" x14ac:dyDescent="0.15">
      <c r="A9" s="5" t="s">
        <v>15</v>
      </c>
      <c r="B9" s="98" t="s">
        <v>16</v>
      </c>
      <c r="C9" s="98"/>
      <c r="D9" s="98"/>
      <c r="E9" s="8" t="s">
        <v>51</v>
      </c>
      <c r="F9" s="1" t="s">
        <v>18</v>
      </c>
    </row>
    <row r="10" spans="1:6" ht="30" customHeight="1" x14ac:dyDescent="0.15">
      <c r="A10" s="5" t="s">
        <v>19</v>
      </c>
      <c r="B10" s="99"/>
      <c r="C10" s="99"/>
      <c r="D10" s="99"/>
      <c r="E10" s="8" t="s">
        <v>20</v>
      </c>
      <c r="F10" s="1" t="s">
        <v>21</v>
      </c>
    </row>
    <row r="11" spans="1:6" ht="30" customHeight="1" x14ac:dyDescent="0.15"/>
    <row r="12" spans="1:6" ht="30" customHeight="1" x14ac:dyDescent="0.15">
      <c r="A12" s="100" t="s">
        <v>52</v>
      </c>
      <c r="B12" s="100"/>
      <c r="C12" s="100"/>
      <c r="D12" s="100"/>
      <c r="E12" s="100"/>
      <c r="F12" s="100"/>
    </row>
    <row r="13" spans="1:6" ht="50.1" customHeight="1" x14ac:dyDescent="0.15">
      <c r="A13" s="101" t="s">
        <v>53</v>
      </c>
      <c r="B13" s="101" t="s">
        <v>54</v>
      </c>
      <c r="C13" s="101" t="s">
        <v>55</v>
      </c>
      <c r="D13" s="101"/>
      <c r="E13" s="101" t="s">
        <v>56</v>
      </c>
      <c r="F13" s="101" t="s">
        <v>57</v>
      </c>
    </row>
    <row r="14" spans="1:6" ht="50.1" customHeight="1" x14ac:dyDescent="0.15">
      <c r="A14" s="101"/>
      <c r="B14" s="101"/>
      <c r="C14" s="1" t="s">
        <v>58</v>
      </c>
      <c r="D14" s="1" t="s">
        <v>59</v>
      </c>
      <c r="E14" s="101"/>
      <c r="F14" s="101"/>
    </row>
    <row r="15" spans="1:6" ht="20.100000000000001" customHeight="1" x14ac:dyDescent="0.15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65</v>
      </c>
    </row>
    <row r="16" spans="1:6" ht="54.95" customHeight="1" x14ac:dyDescent="0.15">
      <c r="A16" s="2" t="s">
        <v>66</v>
      </c>
      <c r="B16" s="1" t="s">
        <v>67</v>
      </c>
      <c r="C16" s="3">
        <v>38644406.579999998</v>
      </c>
      <c r="D16" s="3">
        <v>36007132.770000003</v>
      </c>
      <c r="E16" s="3">
        <f t="shared" ref="E16:E48" si="0">IF(C16&gt;0,(C16-D16)/D16*100,0)</f>
        <v>7.3243093996012014</v>
      </c>
      <c r="F16" s="3">
        <v>90.087178093655766</v>
      </c>
    </row>
    <row r="17" spans="1:6" ht="110.1" customHeight="1" x14ac:dyDescent="0.15">
      <c r="A17" s="2" t="s">
        <v>68</v>
      </c>
      <c r="B17" s="1" t="s">
        <v>69</v>
      </c>
      <c r="C17" s="3">
        <v>0</v>
      </c>
      <c r="D17" s="3">
        <v>0</v>
      </c>
      <c r="E17" s="3">
        <f t="shared" si="0"/>
        <v>0</v>
      </c>
      <c r="F17" s="3">
        <v>0</v>
      </c>
    </row>
    <row r="18" spans="1:6" ht="54.95" customHeight="1" x14ac:dyDescent="0.15">
      <c r="A18" s="2" t="s">
        <v>70</v>
      </c>
      <c r="B18" s="1" t="s">
        <v>71</v>
      </c>
      <c r="C18" s="3">
        <v>2476248.2799999998</v>
      </c>
      <c r="D18" s="3">
        <v>3061589.32</v>
      </c>
      <c r="E18" s="3">
        <f t="shared" si="0"/>
        <v>-19.118862094802449</v>
      </c>
      <c r="F18" s="3">
        <v>5.7725875371552604</v>
      </c>
    </row>
    <row r="19" spans="1:6" ht="54.95" customHeight="1" x14ac:dyDescent="0.15">
      <c r="A19" s="2" t="s">
        <v>72</v>
      </c>
      <c r="B19" s="1" t="s">
        <v>73</v>
      </c>
      <c r="C19" s="3">
        <v>0</v>
      </c>
      <c r="D19" s="3">
        <v>0</v>
      </c>
      <c r="E19" s="3">
        <f t="shared" si="0"/>
        <v>0</v>
      </c>
      <c r="F19" s="3">
        <v>0</v>
      </c>
    </row>
    <row r="20" spans="1:6" ht="54.95" customHeight="1" x14ac:dyDescent="0.15">
      <c r="A20" s="2" t="s">
        <v>74</v>
      </c>
      <c r="B20" s="1" t="s">
        <v>75</v>
      </c>
      <c r="C20" s="3">
        <v>0</v>
      </c>
      <c r="D20" s="3">
        <v>0</v>
      </c>
      <c r="E20" s="3">
        <f t="shared" si="0"/>
        <v>0</v>
      </c>
      <c r="F20" s="3">
        <v>0</v>
      </c>
    </row>
    <row r="21" spans="1:6" ht="54.95" customHeight="1" x14ac:dyDescent="0.15">
      <c r="A21" s="2" t="s">
        <v>76</v>
      </c>
      <c r="B21" s="1" t="s">
        <v>77</v>
      </c>
      <c r="C21" s="3">
        <v>0</v>
      </c>
      <c r="D21" s="3">
        <v>0</v>
      </c>
      <c r="E21" s="3">
        <f t="shared" si="0"/>
        <v>0</v>
      </c>
      <c r="F21" s="3">
        <v>0</v>
      </c>
    </row>
    <row r="22" spans="1:6" ht="54.95" customHeight="1" x14ac:dyDescent="0.15">
      <c r="A22" s="2" t="s">
        <v>78</v>
      </c>
      <c r="B22" s="1" t="s">
        <v>79</v>
      </c>
      <c r="C22" s="3">
        <v>0</v>
      </c>
      <c r="D22" s="3">
        <v>0</v>
      </c>
      <c r="E22" s="3">
        <f t="shared" si="0"/>
        <v>0</v>
      </c>
      <c r="F22" s="3">
        <v>0</v>
      </c>
    </row>
    <row r="23" spans="1:6" ht="110.1" customHeight="1" x14ac:dyDescent="0.15">
      <c r="A23" s="2" t="s">
        <v>80</v>
      </c>
      <c r="B23" s="1" t="s">
        <v>81</v>
      </c>
      <c r="C23" s="3">
        <v>0</v>
      </c>
      <c r="D23" s="3">
        <v>0</v>
      </c>
      <c r="E23" s="3">
        <f t="shared" si="0"/>
        <v>0</v>
      </c>
      <c r="F23" s="3">
        <v>0</v>
      </c>
    </row>
    <row r="24" spans="1:6" ht="110.1" customHeight="1" x14ac:dyDescent="0.15">
      <c r="A24" s="2" t="s">
        <v>82</v>
      </c>
      <c r="B24" s="1" t="s">
        <v>83</v>
      </c>
      <c r="C24" s="3">
        <v>0</v>
      </c>
      <c r="D24" s="3">
        <v>0</v>
      </c>
      <c r="E24" s="3">
        <f t="shared" si="0"/>
        <v>0</v>
      </c>
      <c r="F24" s="3">
        <v>0</v>
      </c>
    </row>
    <row r="25" spans="1:6" ht="110.1" customHeight="1" x14ac:dyDescent="0.15">
      <c r="A25" s="2" t="s">
        <v>84</v>
      </c>
      <c r="B25" s="1" t="s">
        <v>85</v>
      </c>
      <c r="C25" s="3">
        <v>80000</v>
      </c>
      <c r="D25" s="3">
        <v>35000</v>
      </c>
      <c r="E25" s="3">
        <f t="shared" si="0"/>
        <v>128.57142857142858</v>
      </c>
      <c r="F25" s="3">
        <v>0.18649462846771603</v>
      </c>
    </row>
    <row r="26" spans="1:6" ht="54.95" customHeight="1" x14ac:dyDescent="0.15">
      <c r="A26" s="2" t="s">
        <v>86</v>
      </c>
      <c r="B26" s="1" t="s">
        <v>87</v>
      </c>
      <c r="C26" s="3">
        <f>1696023+23854</f>
        <v>1719877</v>
      </c>
      <c r="D26" s="3">
        <v>1535850</v>
      </c>
      <c r="E26" s="3">
        <f t="shared" si="0"/>
        <v>11.982094605592994</v>
      </c>
      <c r="F26" s="3">
        <v>3.9537397407212644</v>
      </c>
    </row>
    <row r="27" spans="1:6" ht="110.1" customHeight="1" x14ac:dyDescent="0.15">
      <c r="A27" s="2" t="s">
        <v>88</v>
      </c>
      <c r="B27" s="1" t="s">
        <v>89</v>
      </c>
      <c r="C27" s="3">
        <v>0</v>
      </c>
      <c r="D27" s="3">
        <v>0</v>
      </c>
      <c r="E27" s="3">
        <f t="shared" si="0"/>
        <v>0</v>
      </c>
      <c r="F27" s="3">
        <v>0</v>
      </c>
    </row>
    <row r="28" spans="1:6" ht="110.1" customHeight="1" x14ac:dyDescent="0.15">
      <c r="A28" s="2" t="s">
        <v>90</v>
      </c>
      <c r="B28" s="1" t="s">
        <v>91</v>
      </c>
      <c r="C28" s="3">
        <f>23854+1696023</f>
        <v>1719877</v>
      </c>
      <c r="D28" s="3">
        <v>1530850</v>
      </c>
      <c r="E28" s="3">
        <f t="shared" si="0"/>
        <v>12.347845967926316</v>
      </c>
      <c r="F28" s="3">
        <v>3.9537397407212644</v>
      </c>
    </row>
    <row r="29" spans="1:6" ht="110.1" customHeight="1" x14ac:dyDescent="0.15">
      <c r="A29" s="2" t="s">
        <v>92</v>
      </c>
      <c r="B29" s="1" t="s">
        <v>93</v>
      </c>
      <c r="C29" s="3">
        <v>0</v>
      </c>
      <c r="D29" s="3">
        <v>0</v>
      </c>
      <c r="E29" s="3">
        <f t="shared" si="0"/>
        <v>0</v>
      </c>
      <c r="F29" s="3">
        <v>0</v>
      </c>
    </row>
    <row r="30" spans="1:6" ht="54.95" customHeight="1" x14ac:dyDescent="0.15">
      <c r="A30" s="2" t="s">
        <v>94</v>
      </c>
      <c r="B30" s="1" t="s">
        <v>95</v>
      </c>
      <c r="C30" s="3">
        <v>0</v>
      </c>
      <c r="D30" s="3">
        <v>0</v>
      </c>
      <c r="E30" s="3">
        <f t="shared" si="0"/>
        <v>0</v>
      </c>
      <c r="F30" s="3">
        <v>0</v>
      </c>
    </row>
    <row r="31" spans="1:6" ht="110.1" customHeight="1" x14ac:dyDescent="0.15">
      <c r="A31" s="2" t="s">
        <v>96</v>
      </c>
      <c r="B31" s="1" t="s">
        <v>97</v>
      </c>
      <c r="C31" s="3">
        <v>0</v>
      </c>
      <c r="D31" s="3">
        <v>0</v>
      </c>
      <c r="E31" s="3">
        <f t="shared" si="0"/>
        <v>0</v>
      </c>
      <c r="F31" s="3">
        <v>0</v>
      </c>
    </row>
    <row r="32" spans="1:6" ht="110.1" customHeight="1" x14ac:dyDescent="0.15">
      <c r="A32" s="2" t="s">
        <v>98</v>
      </c>
      <c r="B32" s="1" t="s">
        <v>99</v>
      </c>
      <c r="C32" s="3">
        <v>0</v>
      </c>
      <c r="D32" s="3">
        <v>0</v>
      </c>
      <c r="E32" s="3">
        <f t="shared" si="0"/>
        <v>0</v>
      </c>
      <c r="F32" s="3">
        <v>0</v>
      </c>
    </row>
    <row r="33" spans="1:6" ht="110.1" customHeight="1" x14ac:dyDescent="0.15">
      <c r="A33" s="2" t="s">
        <v>100</v>
      </c>
      <c r="B33" s="1" t="s">
        <v>101</v>
      </c>
      <c r="C33" s="3">
        <v>0</v>
      </c>
      <c r="D33" s="3">
        <v>5000</v>
      </c>
      <c r="E33" s="3">
        <f t="shared" si="0"/>
        <v>0</v>
      </c>
      <c r="F33" s="3">
        <v>0</v>
      </c>
    </row>
    <row r="34" spans="1:6" ht="54.95" customHeight="1" x14ac:dyDescent="0.15">
      <c r="A34" s="2" t="s">
        <v>102</v>
      </c>
      <c r="B34" s="1" t="s">
        <v>103</v>
      </c>
      <c r="C34" s="3">
        <v>0</v>
      </c>
      <c r="D34" s="3">
        <v>0</v>
      </c>
      <c r="E34" s="3">
        <f t="shared" si="0"/>
        <v>0</v>
      </c>
      <c r="F34" s="3">
        <v>0</v>
      </c>
    </row>
    <row r="35" spans="1:6" ht="110.1" customHeight="1" x14ac:dyDescent="0.15">
      <c r="A35" s="2" t="s">
        <v>104</v>
      </c>
      <c r="B35" s="1" t="s">
        <v>105</v>
      </c>
      <c r="C35" s="3">
        <v>0</v>
      </c>
      <c r="D35" s="3">
        <v>0</v>
      </c>
      <c r="E35" s="3">
        <f t="shared" si="0"/>
        <v>0</v>
      </c>
      <c r="F35" s="3">
        <v>0</v>
      </c>
    </row>
    <row r="36" spans="1:6" ht="54.95" customHeight="1" x14ac:dyDescent="0.15">
      <c r="A36" s="2" t="s">
        <v>106</v>
      </c>
      <c r="B36" s="1" t="s">
        <v>107</v>
      </c>
      <c r="C36" s="3">
        <v>0</v>
      </c>
      <c r="D36" s="3">
        <v>0</v>
      </c>
      <c r="E36" s="3">
        <f t="shared" si="0"/>
        <v>0</v>
      </c>
      <c r="F36" s="3">
        <v>0</v>
      </c>
    </row>
    <row r="37" spans="1:6" ht="54.95" customHeight="1" x14ac:dyDescent="0.15">
      <c r="A37" s="2" t="s">
        <v>108</v>
      </c>
      <c r="B37" s="1" t="s">
        <v>109</v>
      </c>
      <c r="C37" s="3">
        <v>0</v>
      </c>
      <c r="D37" s="3">
        <v>0</v>
      </c>
      <c r="E37" s="3">
        <f t="shared" si="0"/>
        <v>0</v>
      </c>
      <c r="F37" s="3">
        <v>0</v>
      </c>
    </row>
    <row r="38" spans="1:6" ht="54.95" customHeight="1" x14ac:dyDescent="0.15">
      <c r="A38" s="2" t="s">
        <v>110</v>
      </c>
      <c r="B38" s="1" t="s">
        <v>111</v>
      </c>
      <c r="C38" s="3">
        <v>0</v>
      </c>
      <c r="D38" s="3">
        <v>0</v>
      </c>
      <c r="E38" s="3">
        <f t="shared" si="0"/>
        <v>0</v>
      </c>
      <c r="F38" s="3">
        <v>0</v>
      </c>
    </row>
    <row r="39" spans="1:6" ht="54.95" customHeight="1" x14ac:dyDescent="0.15">
      <c r="A39" s="2" t="s">
        <v>112</v>
      </c>
      <c r="B39" s="1" t="s">
        <v>113</v>
      </c>
      <c r="C39" s="3">
        <v>0</v>
      </c>
      <c r="D39" s="3">
        <v>0</v>
      </c>
      <c r="E39" s="3">
        <f t="shared" si="0"/>
        <v>0</v>
      </c>
      <c r="F39" s="3">
        <v>0</v>
      </c>
    </row>
    <row r="40" spans="1:6" ht="54.95" customHeight="1" x14ac:dyDescent="0.15">
      <c r="A40" s="2" t="s">
        <v>114</v>
      </c>
      <c r="B40" s="1" t="s">
        <v>115</v>
      </c>
      <c r="C40" s="3">
        <v>0</v>
      </c>
      <c r="D40" s="3">
        <v>0</v>
      </c>
      <c r="E40" s="3">
        <f t="shared" si="0"/>
        <v>0</v>
      </c>
      <c r="F40" s="3">
        <v>0</v>
      </c>
    </row>
    <row r="41" spans="1:6" ht="110.1" customHeight="1" x14ac:dyDescent="0.15">
      <c r="A41" s="2" t="s">
        <v>116</v>
      </c>
      <c r="B41" s="1" t="s">
        <v>117</v>
      </c>
      <c r="C41" s="3">
        <v>0</v>
      </c>
      <c r="D41" s="3">
        <v>0</v>
      </c>
      <c r="E41" s="3">
        <f t="shared" si="0"/>
        <v>0</v>
      </c>
      <c r="F41" s="3">
        <v>0</v>
      </c>
    </row>
    <row r="42" spans="1:6" ht="54.95" customHeight="1" x14ac:dyDescent="0.15">
      <c r="A42" s="2" t="s">
        <v>118</v>
      </c>
      <c r="B42" s="1" t="s">
        <v>119</v>
      </c>
      <c r="C42" s="3">
        <v>0</v>
      </c>
      <c r="D42" s="3">
        <v>0</v>
      </c>
      <c r="E42" s="3">
        <f t="shared" si="0"/>
        <v>0</v>
      </c>
      <c r="F42" s="3">
        <v>0</v>
      </c>
    </row>
    <row r="43" spans="1:6" ht="54.95" customHeight="1" x14ac:dyDescent="0.15">
      <c r="A43" s="2" t="s">
        <v>120</v>
      </c>
      <c r="B43" s="1" t="s">
        <v>121</v>
      </c>
      <c r="C43" s="3">
        <v>0</v>
      </c>
      <c r="D43" s="3">
        <v>0</v>
      </c>
      <c r="E43" s="3">
        <f t="shared" si="0"/>
        <v>0</v>
      </c>
      <c r="F43" s="3">
        <v>0</v>
      </c>
    </row>
    <row r="44" spans="1:6" ht="54.95" customHeight="1" x14ac:dyDescent="0.15">
      <c r="A44" s="2" t="s">
        <v>122</v>
      </c>
      <c r="B44" s="1" t="s">
        <v>123</v>
      </c>
      <c r="C44" s="3">
        <v>0</v>
      </c>
      <c r="D44" s="3">
        <v>45384</v>
      </c>
      <c r="E44" s="3">
        <f t="shared" si="0"/>
        <v>0</v>
      </c>
      <c r="F44" s="3">
        <v>0</v>
      </c>
    </row>
    <row r="45" spans="1:6" ht="54.95" customHeight="1" x14ac:dyDescent="0.15">
      <c r="A45" s="2" t="s">
        <v>124</v>
      </c>
      <c r="B45" s="1" t="s">
        <v>125</v>
      </c>
      <c r="C45" s="3">
        <v>0</v>
      </c>
      <c r="D45" s="3">
        <v>0</v>
      </c>
      <c r="E45" s="3">
        <f t="shared" si="0"/>
        <v>0</v>
      </c>
      <c r="F45" s="3">
        <v>0</v>
      </c>
    </row>
    <row r="46" spans="1:6" ht="54.95" customHeight="1" x14ac:dyDescent="0.15">
      <c r="A46" s="2" t="s">
        <v>126</v>
      </c>
      <c r="B46" s="1" t="s">
        <v>127</v>
      </c>
      <c r="C46" s="3">
        <v>0</v>
      </c>
      <c r="D46" s="3">
        <v>0</v>
      </c>
      <c r="E46" s="3">
        <f t="shared" si="0"/>
        <v>0</v>
      </c>
      <c r="F46" s="3">
        <v>0</v>
      </c>
    </row>
    <row r="47" spans="1:6" ht="54.95" customHeight="1" x14ac:dyDescent="0.15">
      <c r="A47" s="2" t="s">
        <v>128</v>
      </c>
      <c r="B47" s="1" t="s">
        <v>129</v>
      </c>
      <c r="C47" s="3">
        <v>0</v>
      </c>
      <c r="D47" s="3">
        <v>0</v>
      </c>
      <c r="E47" s="3">
        <f t="shared" si="0"/>
        <v>0</v>
      </c>
      <c r="F47" s="3">
        <v>0</v>
      </c>
    </row>
    <row r="48" spans="1:6" ht="54.95" customHeight="1" x14ac:dyDescent="0.15">
      <c r="A48" s="2" t="s">
        <v>130</v>
      </c>
      <c r="B48" s="1" t="s">
        <v>131</v>
      </c>
      <c r="C48" s="3">
        <v>0</v>
      </c>
      <c r="D48" s="3">
        <v>0</v>
      </c>
      <c r="E48" s="3">
        <f t="shared" si="0"/>
        <v>0</v>
      </c>
      <c r="F48" s="3">
        <v>0</v>
      </c>
    </row>
    <row r="49" spans="1:6" ht="20.100000000000001" customHeight="1" x14ac:dyDescent="0.15">
      <c r="A49" s="9" t="s">
        <v>132</v>
      </c>
      <c r="B49" s="12" t="s">
        <v>133</v>
      </c>
      <c r="C49" s="10">
        <f>23854+42896677.86</f>
        <v>42920531.859999999</v>
      </c>
      <c r="D49" s="10">
        <v>40684956.090000004</v>
      </c>
      <c r="E49" s="12" t="s">
        <v>134</v>
      </c>
      <c r="F49" s="12" t="s">
        <v>135</v>
      </c>
    </row>
  </sheetData>
  <mergeCells count="13">
    <mergeCell ref="A1:F1"/>
    <mergeCell ref="A2:F2"/>
    <mergeCell ref="A3:F3"/>
    <mergeCell ref="B7:D7"/>
    <mergeCell ref="B8:D8"/>
    <mergeCell ref="B9:D9"/>
    <mergeCell ref="B10:D10"/>
    <mergeCell ref="A12:F12"/>
    <mergeCell ref="A13:A14"/>
    <mergeCell ref="B13:B14"/>
    <mergeCell ref="C13:D13"/>
    <mergeCell ref="E13:E14"/>
    <mergeCell ref="F13:F14"/>
  </mergeCells>
  <phoneticPr fontId="0" type="noConversion"/>
  <pageMargins left="0.4" right="0.4" top="0.4" bottom="0.4" header="0.1" footer="0.1"/>
  <pageSetup paperSize="9" scale="7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21"/>
  <sheetViews>
    <sheetView zoomScale="70" zoomScaleNormal="70" workbookViewId="0">
      <selection activeCell="C13" sqref="C1:C1048576"/>
    </sheetView>
  </sheetViews>
  <sheetFormatPr defaultRowHeight="53.25" customHeight="1" x14ac:dyDescent="0.15"/>
  <cols>
    <col min="1" max="1" width="66.85546875" style="13" customWidth="1"/>
    <col min="2" max="2" width="19.7109375" style="13" customWidth="1"/>
    <col min="3" max="3" width="18" style="13" customWidth="1"/>
    <col min="4" max="4" width="29.7109375" style="13" customWidth="1"/>
    <col min="5" max="5" width="18.42578125" style="13" customWidth="1"/>
    <col min="6" max="6" width="29" style="13" customWidth="1"/>
    <col min="7" max="7" width="19.28515625" style="13" customWidth="1"/>
    <col min="8" max="8" width="28.28515625" style="13" customWidth="1"/>
    <col min="9" max="9" width="19.42578125" style="13" customWidth="1"/>
    <col min="10" max="10" width="32.140625" style="13" customWidth="1"/>
    <col min="11" max="11" width="21.28515625" style="13" customWidth="1"/>
    <col min="12" max="12" width="18.5703125" style="13" customWidth="1"/>
    <col min="13" max="13" width="19.5703125" style="13" customWidth="1"/>
    <col min="14" max="14" width="20.7109375" style="13" customWidth="1"/>
    <col min="15" max="16384" width="9.140625" style="13"/>
  </cols>
  <sheetData>
    <row r="1" spans="1:14" ht="53.25" customHeight="1" x14ac:dyDescent="0.15">
      <c r="A1" s="115" t="s">
        <v>539</v>
      </c>
      <c r="B1" s="115" t="s">
        <v>54</v>
      </c>
      <c r="C1" s="115" t="s">
        <v>561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53.25" customHeight="1" x14ac:dyDescent="0.15">
      <c r="A2" s="115"/>
      <c r="B2" s="115"/>
      <c r="C2" s="115" t="s">
        <v>562</v>
      </c>
      <c r="D2" s="115"/>
      <c r="E2" s="115" t="s">
        <v>563</v>
      </c>
      <c r="F2" s="115"/>
      <c r="G2" s="115" t="s">
        <v>564</v>
      </c>
      <c r="H2" s="115"/>
      <c r="I2" s="115" t="s">
        <v>565</v>
      </c>
      <c r="J2" s="115"/>
      <c r="K2" s="115" t="s">
        <v>566</v>
      </c>
      <c r="L2" s="115"/>
      <c r="M2" s="115" t="s">
        <v>567</v>
      </c>
      <c r="N2" s="115"/>
    </row>
    <row r="3" spans="1:14" ht="53.25" customHeight="1" x14ac:dyDescent="0.15">
      <c r="A3" s="115"/>
      <c r="B3" s="115"/>
      <c r="C3" s="14" t="s">
        <v>568</v>
      </c>
      <c r="D3" s="14" t="s">
        <v>569</v>
      </c>
      <c r="E3" s="14" t="s">
        <v>568</v>
      </c>
      <c r="F3" s="14" t="s">
        <v>569</v>
      </c>
      <c r="G3" s="14" t="s">
        <v>568</v>
      </c>
      <c r="H3" s="14" t="s">
        <v>569</v>
      </c>
      <c r="I3" s="14" t="s">
        <v>568</v>
      </c>
      <c r="J3" s="14" t="s">
        <v>569</v>
      </c>
      <c r="K3" s="14" t="s">
        <v>568</v>
      </c>
      <c r="L3" s="14" t="s">
        <v>569</v>
      </c>
      <c r="M3" s="14" t="s">
        <v>568</v>
      </c>
      <c r="N3" s="14" t="s">
        <v>569</v>
      </c>
    </row>
    <row r="4" spans="1:14" ht="53.25" customHeight="1" x14ac:dyDescent="0.15">
      <c r="A4" s="14" t="s">
        <v>60</v>
      </c>
      <c r="B4" s="14" t="s">
        <v>61</v>
      </c>
      <c r="C4" s="14" t="s">
        <v>155</v>
      </c>
      <c r="D4" s="14" t="s">
        <v>156</v>
      </c>
      <c r="E4" s="14" t="s">
        <v>157</v>
      </c>
      <c r="F4" s="14" t="s">
        <v>158</v>
      </c>
      <c r="G4" s="14" t="s">
        <v>159</v>
      </c>
      <c r="H4" s="14" t="s">
        <v>160</v>
      </c>
      <c r="I4" s="14" t="s">
        <v>161</v>
      </c>
      <c r="J4" s="14" t="s">
        <v>162</v>
      </c>
      <c r="K4" s="14" t="s">
        <v>163</v>
      </c>
      <c r="L4" s="14" t="s">
        <v>164</v>
      </c>
      <c r="M4" s="14" t="s">
        <v>424</v>
      </c>
      <c r="N4" s="14" t="s">
        <v>425</v>
      </c>
    </row>
    <row r="5" spans="1:14" ht="53.25" customHeight="1" x14ac:dyDescent="0.15">
      <c r="A5" s="24" t="s">
        <v>549</v>
      </c>
      <c r="B5" s="18" t="s">
        <v>121</v>
      </c>
      <c r="C5" s="19">
        <v>1</v>
      </c>
      <c r="D5" s="19">
        <v>144449.4</v>
      </c>
      <c r="E5" s="19">
        <v>0</v>
      </c>
      <c r="F5" s="19">
        <v>0</v>
      </c>
      <c r="G5" s="19">
        <v>1</v>
      </c>
      <c r="H5" s="19">
        <v>65960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</row>
    <row r="6" spans="1:14" ht="53.25" customHeight="1" x14ac:dyDescent="0.15">
      <c r="A6" s="15" t="s">
        <v>550</v>
      </c>
      <c r="B6" s="14" t="s">
        <v>123</v>
      </c>
      <c r="C6" s="16">
        <v>1</v>
      </c>
      <c r="D6" s="16">
        <v>144449.4</v>
      </c>
      <c r="E6" s="16">
        <v>0</v>
      </c>
      <c r="F6" s="16">
        <v>0</v>
      </c>
      <c r="G6" s="16">
        <v>1</v>
      </c>
      <c r="H6" s="16">
        <v>65960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</row>
    <row r="7" spans="1:14" ht="53.25" customHeight="1" x14ac:dyDescent="0.15">
      <c r="A7" s="15" t="s">
        <v>551</v>
      </c>
      <c r="B7" s="14" t="s">
        <v>552</v>
      </c>
      <c r="C7" s="16">
        <v>1</v>
      </c>
      <c r="D7" s="16">
        <v>144449.4</v>
      </c>
      <c r="E7" s="16">
        <v>0</v>
      </c>
      <c r="F7" s="16">
        <v>0</v>
      </c>
      <c r="G7" s="16">
        <v>1</v>
      </c>
      <c r="H7" s="16">
        <v>65960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</row>
    <row r="8" spans="1:14" ht="53.25" customHeight="1" x14ac:dyDescent="0.15">
      <c r="A8" s="15" t="s">
        <v>553</v>
      </c>
      <c r="B8" s="14" t="s">
        <v>125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</row>
    <row r="9" spans="1:14" ht="53.25" customHeight="1" x14ac:dyDescent="0.15">
      <c r="A9" s="24" t="s">
        <v>554</v>
      </c>
      <c r="B9" s="18" t="s">
        <v>244</v>
      </c>
      <c r="C9" s="19">
        <v>43</v>
      </c>
      <c r="D9" s="19">
        <v>955552.98</v>
      </c>
      <c r="E9" s="19">
        <v>9</v>
      </c>
      <c r="F9" s="19">
        <v>405366.93</v>
      </c>
      <c r="G9" s="19">
        <v>2</v>
      </c>
      <c r="H9" s="19">
        <v>151400</v>
      </c>
      <c r="I9" s="19">
        <v>6</v>
      </c>
      <c r="J9" s="19">
        <v>1508955.42</v>
      </c>
      <c r="K9" s="19">
        <v>0</v>
      </c>
      <c r="L9" s="19">
        <v>0</v>
      </c>
      <c r="M9" s="19">
        <v>0</v>
      </c>
      <c r="N9" s="19">
        <v>0</v>
      </c>
    </row>
    <row r="10" spans="1:14" ht="53.25" customHeight="1" x14ac:dyDescent="0.15">
      <c r="A10" s="15" t="s">
        <v>550</v>
      </c>
      <c r="B10" s="14" t="s">
        <v>246</v>
      </c>
      <c r="C10" s="16">
        <v>43</v>
      </c>
      <c r="D10" s="16">
        <v>955552.98</v>
      </c>
      <c r="E10" s="16">
        <v>9</v>
      </c>
      <c r="F10" s="16">
        <v>405366.93</v>
      </c>
      <c r="G10" s="16">
        <v>2</v>
      </c>
      <c r="H10" s="16">
        <v>151400</v>
      </c>
      <c r="I10" s="16">
        <v>6</v>
      </c>
      <c r="J10" s="16">
        <v>1508955.42</v>
      </c>
      <c r="K10" s="16">
        <v>0</v>
      </c>
      <c r="L10" s="16">
        <v>0</v>
      </c>
      <c r="M10" s="16">
        <v>0</v>
      </c>
      <c r="N10" s="16">
        <v>0</v>
      </c>
    </row>
    <row r="11" spans="1:14" ht="53.25" customHeight="1" x14ac:dyDescent="0.15">
      <c r="A11" s="15" t="s">
        <v>551</v>
      </c>
      <c r="B11" s="14" t="s">
        <v>555</v>
      </c>
      <c r="C11" s="16">
        <v>43</v>
      </c>
      <c r="D11" s="16">
        <v>955552.98</v>
      </c>
      <c r="E11" s="16">
        <v>9</v>
      </c>
      <c r="F11" s="16">
        <v>405366.93</v>
      </c>
      <c r="G11" s="16">
        <v>2</v>
      </c>
      <c r="H11" s="16">
        <v>151400</v>
      </c>
      <c r="I11" s="16">
        <v>6</v>
      </c>
      <c r="J11" s="16">
        <v>1508955.42</v>
      </c>
      <c r="K11" s="16">
        <v>0</v>
      </c>
      <c r="L11" s="16">
        <v>0</v>
      </c>
      <c r="M11" s="16">
        <v>0</v>
      </c>
      <c r="N11" s="16">
        <v>0</v>
      </c>
    </row>
    <row r="12" spans="1:14" ht="53.25" customHeight="1" x14ac:dyDescent="0.15">
      <c r="A12" s="15" t="s">
        <v>553</v>
      </c>
      <c r="B12" s="14" t="s">
        <v>248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</row>
    <row r="13" spans="1:14" ht="53.25" customHeight="1" x14ac:dyDescent="0.15">
      <c r="A13" s="24" t="s">
        <v>556</v>
      </c>
      <c r="B13" s="18" t="s">
        <v>309</v>
      </c>
      <c r="C13" s="19">
        <v>90</v>
      </c>
      <c r="D13" s="19">
        <v>634811.64</v>
      </c>
      <c r="E13" s="19">
        <v>0</v>
      </c>
      <c r="F13" s="19">
        <v>0</v>
      </c>
      <c r="G13" s="19">
        <v>0</v>
      </c>
      <c r="H13" s="19">
        <v>0</v>
      </c>
      <c r="I13" s="19">
        <v>1</v>
      </c>
      <c r="J13" s="19">
        <v>150680.66</v>
      </c>
      <c r="K13" s="19">
        <v>0</v>
      </c>
      <c r="L13" s="19">
        <v>0</v>
      </c>
      <c r="M13" s="19">
        <v>0</v>
      </c>
      <c r="N13" s="19">
        <v>0</v>
      </c>
    </row>
    <row r="14" spans="1:14" ht="53.25" customHeight="1" x14ac:dyDescent="0.15">
      <c r="A14" s="15" t="s">
        <v>550</v>
      </c>
      <c r="B14" s="14" t="s">
        <v>311</v>
      </c>
      <c r="C14" s="16">
        <v>90</v>
      </c>
      <c r="D14" s="16">
        <v>634811.64</v>
      </c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>
        <v>150680.66</v>
      </c>
      <c r="K14" s="16">
        <v>0</v>
      </c>
      <c r="L14" s="16">
        <v>0</v>
      </c>
      <c r="M14" s="16">
        <v>0</v>
      </c>
      <c r="N14" s="16">
        <v>0</v>
      </c>
    </row>
    <row r="15" spans="1:14" ht="53.25" customHeight="1" x14ac:dyDescent="0.15">
      <c r="A15" s="15" t="s">
        <v>551</v>
      </c>
      <c r="B15" s="14" t="s">
        <v>557</v>
      </c>
      <c r="C15" s="16">
        <v>90</v>
      </c>
      <c r="D15" s="16">
        <v>634811.64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16">
        <v>150680.66</v>
      </c>
      <c r="K15" s="16">
        <v>0</v>
      </c>
      <c r="L15" s="16">
        <v>0</v>
      </c>
      <c r="M15" s="16">
        <v>0</v>
      </c>
      <c r="N15" s="16">
        <v>0</v>
      </c>
    </row>
    <row r="16" spans="1:14" ht="53.25" customHeight="1" x14ac:dyDescent="0.15">
      <c r="A16" s="15" t="s">
        <v>553</v>
      </c>
      <c r="B16" s="14" t="s">
        <v>313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</row>
    <row r="17" spans="1:14" ht="53.25" customHeight="1" x14ac:dyDescent="0.15">
      <c r="A17" s="24" t="s">
        <v>558</v>
      </c>
      <c r="B17" s="18" t="s">
        <v>325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</row>
    <row r="18" spans="1:14" ht="53.25" customHeight="1" x14ac:dyDescent="0.15">
      <c r="A18" s="15" t="s">
        <v>550</v>
      </c>
      <c r="B18" s="14" t="s">
        <v>327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</row>
    <row r="19" spans="1:14" ht="53.25" customHeight="1" x14ac:dyDescent="0.15">
      <c r="A19" s="15" t="s">
        <v>551</v>
      </c>
      <c r="B19" s="14" t="s">
        <v>559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</row>
    <row r="20" spans="1:14" ht="53.25" customHeight="1" x14ac:dyDescent="0.15">
      <c r="A20" s="15" t="s">
        <v>553</v>
      </c>
      <c r="B20" s="14" t="s">
        <v>560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</row>
    <row r="21" spans="1:14" ht="53.25" customHeight="1" x14ac:dyDescent="0.15">
      <c r="A21" s="17" t="s">
        <v>132</v>
      </c>
      <c r="B21" s="18" t="s">
        <v>133</v>
      </c>
      <c r="C21" s="19">
        <v>134</v>
      </c>
      <c r="D21" s="19">
        <v>1734814.02</v>
      </c>
      <c r="E21" s="19">
        <v>9</v>
      </c>
      <c r="F21" s="19">
        <v>405366.93</v>
      </c>
      <c r="G21" s="19">
        <v>3</v>
      </c>
      <c r="H21" s="19">
        <v>217360</v>
      </c>
      <c r="I21" s="19">
        <v>7</v>
      </c>
      <c r="J21" s="19">
        <v>1659636.08</v>
      </c>
      <c r="K21" s="19">
        <v>0</v>
      </c>
      <c r="L21" s="19">
        <v>0</v>
      </c>
      <c r="M21" s="19">
        <v>0</v>
      </c>
      <c r="N21" s="19">
        <v>0</v>
      </c>
    </row>
  </sheetData>
  <mergeCells count="9">
    <mergeCell ref="A1:A3"/>
    <mergeCell ref="B1:B3"/>
    <mergeCell ref="C1:N1"/>
    <mergeCell ref="C2:D2"/>
    <mergeCell ref="E2:F2"/>
    <mergeCell ref="G2:H2"/>
    <mergeCell ref="I2:J2"/>
    <mergeCell ref="K2:L2"/>
    <mergeCell ref="M2:N2"/>
  </mergeCells>
  <phoneticPr fontId="0" type="noConversion"/>
  <pageMargins left="0.4" right="0.4" top="0.4" bottom="0.4" header="0.1" footer="0.1"/>
  <pageSetup paperSize="9" scale="4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20"/>
  <sheetViews>
    <sheetView zoomScale="40" zoomScaleNormal="40" workbookViewId="0">
      <selection activeCell="C13" sqref="C13"/>
    </sheetView>
  </sheetViews>
  <sheetFormatPr defaultRowHeight="62.25" customHeight="1" x14ac:dyDescent="0.15"/>
  <cols>
    <col min="1" max="1" width="66.85546875" style="29" customWidth="1"/>
    <col min="2" max="2" width="21" style="29" customWidth="1"/>
    <col min="3" max="3" width="28.7109375" style="29" customWidth="1"/>
    <col min="4" max="4" width="19.140625" style="29" customWidth="1"/>
    <col min="5" max="5" width="28" style="29" customWidth="1"/>
    <col min="6" max="7" width="21.28515625" style="29" customWidth="1"/>
    <col min="8" max="8" width="27.5703125" style="29" customWidth="1"/>
    <col min="9" max="13" width="24.85546875" style="29" customWidth="1"/>
    <col min="14" max="16384" width="9.140625" style="29"/>
  </cols>
  <sheetData>
    <row r="1" spans="1:13" ht="62.25" customHeight="1" x14ac:dyDescent="0.15">
      <c r="A1" s="110" t="s">
        <v>539</v>
      </c>
      <c r="B1" s="110" t="s">
        <v>54</v>
      </c>
      <c r="C1" s="110" t="s">
        <v>570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62.25" customHeight="1" x14ac:dyDescent="0.15">
      <c r="A2" s="110"/>
      <c r="B2" s="110"/>
      <c r="C2" s="26" t="s">
        <v>567</v>
      </c>
      <c r="D2" s="26" t="s">
        <v>571</v>
      </c>
      <c r="E2" s="26" t="s">
        <v>572</v>
      </c>
      <c r="F2" s="26" t="s">
        <v>573</v>
      </c>
      <c r="G2" s="26" t="s">
        <v>574</v>
      </c>
      <c r="H2" s="26" t="s">
        <v>575</v>
      </c>
      <c r="I2" s="26" t="s">
        <v>576</v>
      </c>
      <c r="J2" s="26" t="s">
        <v>577</v>
      </c>
      <c r="K2" s="26" t="s">
        <v>578</v>
      </c>
      <c r="L2" s="26" t="s">
        <v>579</v>
      </c>
      <c r="M2" s="26" t="s">
        <v>562</v>
      </c>
    </row>
    <row r="3" spans="1:13" ht="62.25" customHeight="1" x14ac:dyDescent="0.15">
      <c r="A3" s="26" t="s">
        <v>60</v>
      </c>
      <c r="B3" s="26" t="s">
        <v>61</v>
      </c>
      <c r="C3" s="26" t="s">
        <v>426</v>
      </c>
      <c r="D3" s="26" t="s">
        <v>427</v>
      </c>
      <c r="E3" s="26" t="s">
        <v>428</v>
      </c>
      <c r="F3" s="26" t="s">
        <v>429</v>
      </c>
      <c r="G3" s="26" t="s">
        <v>430</v>
      </c>
      <c r="H3" s="26" t="s">
        <v>431</v>
      </c>
      <c r="I3" s="26" t="s">
        <v>434</v>
      </c>
      <c r="J3" s="26" t="s">
        <v>435</v>
      </c>
      <c r="K3" s="26" t="s">
        <v>436</v>
      </c>
      <c r="L3" s="26" t="s">
        <v>437</v>
      </c>
      <c r="M3" s="26" t="s">
        <v>438</v>
      </c>
    </row>
    <row r="4" spans="1:13" ht="62.25" customHeight="1" x14ac:dyDescent="0.15">
      <c r="A4" s="67" t="s">
        <v>549</v>
      </c>
      <c r="B4" s="68" t="s">
        <v>121</v>
      </c>
      <c r="C4" s="25">
        <v>0</v>
      </c>
      <c r="D4" s="25">
        <v>0</v>
      </c>
      <c r="E4" s="25">
        <v>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</row>
    <row r="5" spans="1:13" ht="62.25" customHeight="1" x14ac:dyDescent="0.15">
      <c r="A5" s="28" t="s">
        <v>550</v>
      </c>
      <c r="B5" s="26" t="s">
        <v>123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</row>
    <row r="6" spans="1:13" ht="78" x14ac:dyDescent="0.15">
      <c r="A6" s="28" t="s">
        <v>551</v>
      </c>
      <c r="B6" s="26" t="s">
        <v>552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</row>
    <row r="7" spans="1:13" ht="39.75" customHeight="1" x14ac:dyDescent="0.15">
      <c r="A7" s="28" t="s">
        <v>553</v>
      </c>
      <c r="B7" s="26" t="s">
        <v>125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</row>
    <row r="8" spans="1:13" ht="62.25" customHeight="1" x14ac:dyDescent="0.15">
      <c r="A8" s="67" t="s">
        <v>554</v>
      </c>
      <c r="B8" s="68" t="s">
        <v>244</v>
      </c>
      <c r="C8" s="25">
        <v>98252.92</v>
      </c>
      <c r="D8" s="25">
        <v>0</v>
      </c>
      <c r="E8" s="25">
        <v>37230.46</v>
      </c>
      <c r="F8" s="25">
        <v>0</v>
      </c>
      <c r="G8" s="25">
        <v>0</v>
      </c>
      <c r="H8" s="25">
        <v>768687.59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</row>
    <row r="9" spans="1:13" ht="62.25" customHeight="1" x14ac:dyDescent="0.15">
      <c r="A9" s="28" t="s">
        <v>550</v>
      </c>
      <c r="B9" s="26" t="s">
        <v>246</v>
      </c>
      <c r="C9" s="27">
        <v>98252.92</v>
      </c>
      <c r="D9" s="27">
        <v>0</v>
      </c>
      <c r="E9" s="27">
        <v>37230.46</v>
      </c>
      <c r="F9" s="27">
        <v>0</v>
      </c>
      <c r="G9" s="27">
        <v>0</v>
      </c>
      <c r="H9" s="27">
        <v>768687.59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</row>
    <row r="10" spans="1:13" ht="78" x14ac:dyDescent="0.15">
      <c r="A10" s="28" t="s">
        <v>551</v>
      </c>
      <c r="B10" s="26" t="s">
        <v>555</v>
      </c>
      <c r="C10" s="27">
        <v>98252.92</v>
      </c>
      <c r="D10" s="27">
        <v>0</v>
      </c>
      <c r="E10" s="27">
        <v>37230.46</v>
      </c>
      <c r="F10" s="27">
        <v>0</v>
      </c>
      <c r="G10" s="27">
        <v>0</v>
      </c>
      <c r="H10" s="27">
        <v>768687.59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</row>
    <row r="11" spans="1:13" ht="39.75" customHeight="1" x14ac:dyDescent="0.15">
      <c r="A11" s="28" t="s">
        <v>553</v>
      </c>
      <c r="B11" s="26" t="s">
        <v>248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</row>
    <row r="12" spans="1:13" ht="62.25" customHeight="1" x14ac:dyDescent="0.15">
      <c r="A12" s="67" t="s">
        <v>556</v>
      </c>
      <c r="B12" s="68" t="s">
        <v>309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</row>
    <row r="13" spans="1:13" ht="62.25" customHeight="1" x14ac:dyDescent="0.15">
      <c r="A13" s="28" t="s">
        <v>550</v>
      </c>
      <c r="B13" s="26" t="s">
        <v>311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</row>
    <row r="14" spans="1:13" ht="62.25" customHeight="1" x14ac:dyDescent="0.15">
      <c r="A14" s="28" t="s">
        <v>551</v>
      </c>
      <c r="B14" s="26" t="s">
        <v>557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</row>
    <row r="15" spans="1:13" ht="39.75" customHeight="1" x14ac:dyDescent="0.15">
      <c r="A15" s="28" t="s">
        <v>553</v>
      </c>
      <c r="B15" s="26" t="s">
        <v>313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</row>
    <row r="16" spans="1:13" ht="62.25" customHeight="1" x14ac:dyDescent="0.15">
      <c r="A16" s="67" t="s">
        <v>558</v>
      </c>
      <c r="B16" s="68" t="s">
        <v>325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</row>
    <row r="17" spans="1:13" ht="62.25" customHeight="1" x14ac:dyDescent="0.15">
      <c r="A17" s="28" t="s">
        <v>550</v>
      </c>
      <c r="B17" s="26" t="s">
        <v>327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</row>
    <row r="18" spans="1:13" ht="78" x14ac:dyDescent="0.15">
      <c r="A18" s="28" t="s">
        <v>551</v>
      </c>
      <c r="B18" s="26" t="s">
        <v>559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</row>
    <row r="19" spans="1:13" ht="41.25" customHeight="1" x14ac:dyDescent="0.15">
      <c r="A19" s="28" t="s">
        <v>553</v>
      </c>
      <c r="B19" s="26" t="s">
        <v>560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</row>
    <row r="20" spans="1:13" ht="62.25" customHeight="1" x14ac:dyDescent="0.15">
      <c r="A20" s="34" t="s">
        <v>132</v>
      </c>
      <c r="B20" s="68" t="s">
        <v>133</v>
      </c>
      <c r="C20" s="25">
        <v>98252.92</v>
      </c>
      <c r="D20" s="25">
        <v>0</v>
      </c>
      <c r="E20" s="25">
        <v>37230.46</v>
      </c>
      <c r="F20" s="25">
        <v>0</v>
      </c>
      <c r="G20" s="25">
        <v>0</v>
      </c>
      <c r="H20" s="25">
        <v>768687.59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</row>
  </sheetData>
  <mergeCells count="3">
    <mergeCell ref="A1:A2"/>
    <mergeCell ref="B1:B2"/>
    <mergeCell ref="C1:M1"/>
  </mergeCells>
  <phoneticPr fontId="0" type="noConversion"/>
  <pageMargins left="0.4" right="0.4" top="0.4" bottom="0.4" header="0.1" footer="0.1"/>
  <pageSetup paperSize="9" scale="4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  <pageSetUpPr fitToPage="1"/>
  </sheetPr>
  <dimension ref="A1:K28"/>
  <sheetViews>
    <sheetView view="pageBreakPreview" zoomScale="60" zoomScaleNormal="80" workbookViewId="0">
      <selection activeCell="C26" sqref="C26"/>
    </sheetView>
  </sheetViews>
  <sheetFormatPr defaultRowHeight="61.5" customHeight="1" x14ac:dyDescent="0.15"/>
  <cols>
    <col min="1" max="1" width="66.85546875" style="13" customWidth="1"/>
    <col min="2" max="2" width="20.42578125" style="13" customWidth="1"/>
    <col min="3" max="3" width="29.28515625" style="13" customWidth="1"/>
    <col min="4" max="4" width="19.140625" style="13" customWidth="1"/>
    <col min="5" max="5" width="30.140625" style="13" customWidth="1"/>
    <col min="6" max="11" width="24.85546875" style="13" customWidth="1"/>
    <col min="12" max="16384" width="9.140625" style="13"/>
  </cols>
  <sheetData>
    <row r="1" spans="1:11" ht="61.5" customHeight="1" x14ac:dyDescent="0.15">
      <c r="A1" s="116" t="s">
        <v>580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ht="30" customHeight="1" x14ac:dyDescent="0.15">
      <c r="A2" s="115" t="s">
        <v>53</v>
      </c>
      <c r="B2" s="115" t="s">
        <v>54</v>
      </c>
      <c r="C2" s="115" t="s">
        <v>581</v>
      </c>
      <c r="D2" s="115" t="s">
        <v>582</v>
      </c>
      <c r="E2" s="115"/>
      <c r="F2" s="115"/>
      <c r="G2" s="115"/>
      <c r="H2" s="115"/>
      <c r="I2" s="115"/>
      <c r="J2" s="115"/>
      <c r="K2" s="115"/>
    </row>
    <row r="3" spans="1:11" ht="33" customHeight="1" x14ac:dyDescent="0.15">
      <c r="A3" s="115"/>
      <c r="B3" s="115"/>
      <c r="C3" s="115"/>
      <c r="D3" s="115" t="s">
        <v>295</v>
      </c>
      <c r="E3" s="115"/>
      <c r="F3" s="115"/>
      <c r="G3" s="115"/>
      <c r="H3" s="115"/>
      <c r="I3" s="115"/>
      <c r="J3" s="115"/>
      <c r="K3" s="115"/>
    </row>
    <row r="4" spans="1:11" ht="46.5" customHeight="1" x14ac:dyDescent="0.15">
      <c r="A4" s="115"/>
      <c r="B4" s="115"/>
      <c r="C4" s="115"/>
      <c r="D4" s="115" t="s">
        <v>583</v>
      </c>
      <c r="E4" s="115"/>
      <c r="F4" s="115"/>
      <c r="G4" s="115"/>
      <c r="H4" s="115" t="s">
        <v>584</v>
      </c>
      <c r="I4" s="115" t="s">
        <v>585</v>
      </c>
      <c r="J4" s="115" t="s">
        <v>586</v>
      </c>
      <c r="K4" s="115" t="s">
        <v>587</v>
      </c>
    </row>
    <row r="5" spans="1:11" ht="80.25" customHeight="1" x14ac:dyDescent="0.15">
      <c r="A5" s="115"/>
      <c r="B5" s="115"/>
      <c r="C5" s="115"/>
      <c r="D5" s="14" t="s">
        <v>588</v>
      </c>
      <c r="E5" s="14" t="s">
        <v>589</v>
      </c>
      <c r="F5" s="14" t="s">
        <v>590</v>
      </c>
      <c r="G5" s="14" t="s">
        <v>591</v>
      </c>
      <c r="H5" s="115"/>
      <c r="I5" s="115"/>
      <c r="J5" s="115"/>
      <c r="K5" s="115"/>
    </row>
    <row r="6" spans="1:11" ht="18" x14ac:dyDescent="0.15">
      <c r="A6" s="14" t="s">
        <v>60</v>
      </c>
      <c r="B6" s="14" t="s">
        <v>61</v>
      </c>
      <c r="C6" s="14" t="s">
        <v>62</v>
      </c>
      <c r="D6" s="14" t="s">
        <v>63</v>
      </c>
      <c r="E6" s="14" t="s">
        <v>64</v>
      </c>
      <c r="F6" s="14" t="s">
        <v>65</v>
      </c>
      <c r="G6" s="14" t="s">
        <v>151</v>
      </c>
      <c r="H6" s="14" t="s">
        <v>152</v>
      </c>
      <c r="I6" s="14" t="s">
        <v>153</v>
      </c>
      <c r="J6" s="14" t="s">
        <v>154</v>
      </c>
      <c r="K6" s="14" t="s">
        <v>155</v>
      </c>
    </row>
    <row r="7" spans="1:11" ht="61.5" customHeight="1" x14ac:dyDescent="0.15">
      <c r="A7" s="24" t="s">
        <v>549</v>
      </c>
      <c r="B7" s="18" t="s">
        <v>121</v>
      </c>
      <c r="C7" s="19">
        <f t="shared" ref="C7:C23" si="0">SUM(D7:K7)</f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</row>
    <row r="8" spans="1:11" ht="61.5" customHeight="1" x14ac:dyDescent="0.15">
      <c r="A8" s="15" t="s">
        <v>550</v>
      </c>
      <c r="B8" s="14" t="s">
        <v>123</v>
      </c>
      <c r="C8" s="16">
        <f t="shared" si="0"/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61.5" customHeight="1" x14ac:dyDescent="0.15">
      <c r="A9" s="15" t="s">
        <v>551</v>
      </c>
      <c r="B9" s="14" t="s">
        <v>552</v>
      </c>
      <c r="C9" s="16">
        <f t="shared" si="0"/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8" x14ac:dyDescent="0.15">
      <c r="A10" s="15" t="s">
        <v>553</v>
      </c>
      <c r="B10" s="14" t="s">
        <v>125</v>
      </c>
      <c r="C10" s="16">
        <f t="shared" si="0"/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8" x14ac:dyDescent="0.15">
      <c r="A11" s="24" t="s">
        <v>554</v>
      </c>
      <c r="B11" s="18" t="s">
        <v>244</v>
      </c>
      <c r="C11" s="19">
        <f t="shared" si="0"/>
        <v>436901.08999999997</v>
      </c>
      <c r="D11" s="19">
        <v>0</v>
      </c>
      <c r="E11" s="19">
        <f>738999.61-303105.49</f>
        <v>435894.12</v>
      </c>
      <c r="F11" s="19">
        <v>0</v>
      </c>
      <c r="G11" s="19">
        <v>0</v>
      </c>
      <c r="H11" s="19">
        <v>0</v>
      </c>
      <c r="I11" s="19">
        <v>1006.97</v>
      </c>
      <c r="J11" s="19">
        <v>0</v>
      </c>
      <c r="K11" s="19">
        <v>0</v>
      </c>
    </row>
    <row r="12" spans="1:11" ht="61.5" customHeight="1" x14ac:dyDescent="0.15">
      <c r="A12" s="15" t="s">
        <v>550</v>
      </c>
      <c r="B12" s="14" t="s">
        <v>246</v>
      </c>
      <c r="C12" s="16">
        <f t="shared" si="0"/>
        <v>436901.08999999997</v>
      </c>
      <c r="D12" s="16">
        <v>0</v>
      </c>
      <c r="E12" s="19">
        <f>738999.61-303105.49</f>
        <v>435894.12</v>
      </c>
      <c r="F12" s="16">
        <v>0</v>
      </c>
      <c r="G12" s="16">
        <v>0</v>
      </c>
      <c r="H12" s="16">
        <v>0</v>
      </c>
      <c r="I12" s="16">
        <v>1006.97</v>
      </c>
      <c r="J12" s="16">
        <v>0</v>
      </c>
      <c r="K12" s="16">
        <v>0</v>
      </c>
    </row>
    <row r="13" spans="1:11" ht="61.5" customHeight="1" x14ac:dyDescent="0.15">
      <c r="A13" s="15" t="s">
        <v>551</v>
      </c>
      <c r="B13" s="14" t="s">
        <v>555</v>
      </c>
      <c r="C13" s="16">
        <f t="shared" si="0"/>
        <v>436901.08999999997</v>
      </c>
      <c r="D13" s="16">
        <v>0</v>
      </c>
      <c r="E13" s="19">
        <f>738999.61-303105.49</f>
        <v>435894.12</v>
      </c>
      <c r="F13" s="16">
        <v>0</v>
      </c>
      <c r="G13" s="16">
        <v>0</v>
      </c>
      <c r="H13" s="16">
        <v>0</v>
      </c>
      <c r="I13" s="16">
        <v>1006.97</v>
      </c>
      <c r="J13" s="16">
        <v>0</v>
      </c>
      <c r="K13" s="16">
        <v>0</v>
      </c>
    </row>
    <row r="14" spans="1:11" ht="18" x14ac:dyDescent="0.15">
      <c r="A14" s="15" t="s">
        <v>553</v>
      </c>
      <c r="B14" s="14" t="s">
        <v>248</v>
      </c>
      <c r="C14" s="16">
        <f t="shared" si="0"/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ht="36" x14ac:dyDescent="0.15">
      <c r="A15" s="24" t="s">
        <v>556</v>
      </c>
      <c r="B15" s="18" t="s">
        <v>309</v>
      </c>
      <c r="C15" s="19">
        <f t="shared" si="0"/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</row>
    <row r="16" spans="1:11" ht="61.5" customHeight="1" x14ac:dyDescent="0.15">
      <c r="A16" s="15" t="s">
        <v>550</v>
      </c>
      <c r="B16" s="14" t="s">
        <v>311</v>
      </c>
      <c r="C16" s="16">
        <f t="shared" si="0"/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61.5" customHeight="1" x14ac:dyDescent="0.15">
      <c r="A17" s="15" t="s">
        <v>551</v>
      </c>
      <c r="B17" s="14" t="s">
        <v>557</v>
      </c>
      <c r="C17" s="16">
        <f t="shared" si="0"/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ht="18" x14ac:dyDescent="0.15">
      <c r="A18" s="15" t="s">
        <v>553</v>
      </c>
      <c r="B18" s="14" t="s">
        <v>313</v>
      </c>
      <c r="C18" s="16">
        <f t="shared" si="0"/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ht="18" x14ac:dyDescent="0.15">
      <c r="A19" s="24" t="s">
        <v>558</v>
      </c>
      <c r="B19" s="18" t="s">
        <v>325</v>
      </c>
      <c r="C19" s="19">
        <f t="shared" si="0"/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</row>
    <row r="20" spans="1:11" ht="61.5" customHeight="1" x14ac:dyDescent="0.15">
      <c r="A20" s="15" t="s">
        <v>550</v>
      </c>
      <c r="B20" s="14" t="s">
        <v>327</v>
      </c>
      <c r="C20" s="16">
        <f t="shared" si="0"/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ht="61.5" customHeight="1" x14ac:dyDescent="0.15">
      <c r="A21" s="15" t="s">
        <v>551</v>
      </c>
      <c r="B21" s="14" t="s">
        <v>559</v>
      </c>
      <c r="C21" s="16">
        <f t="shared" si="0"/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18" x14ac:dyDescent="0.15">
      <c r="A22" s="15" t="s">
        <v>553</v>
      </c>
      <c r="B22" s="14" t="s">
        <v>560</v>
      </c>
      <c r="C22" s="16">
        <f t="shared" si="0"/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18" x14ac:dyDescent="0.15">
      <c r="A23" s="17" t="s">
        <v>132</v>
      </c>
      <c r="B23" s="18" t="s">
        <v>133</v>
      </c>
      <c r="C23" s="19">
        <f t="shared" si="0"/>
        <v>436901.08999999997</v>
      </c>
      <c r="D23" s="19">
        <v>0</v>
      </c>
      <c r="E23" s="19">
        <f>738999.61-303105.49</f>
        <v>435894.12</v>
      </c>
      <c r="F23" s="19">
        <v>0</v>
      </c>
      <c r="G23" s="19">
        <v>0</v>
      </c>
      <c r="H23" s="19">
        <v>0</v>
      </c>
      <c r="I23" s="19">
        <v>1006.97</v>
      </c>
      <c r="J23" s="19">
        <v>0</v>
      </c>
      <c r="K23" s="19">
        <v>0</v>
      </c>
    </row>
    <row r="24" spans="1:11" ht="50.25" customHeight="1" x14ac:dyDescent="0.15">
      <c r="A24" s="20" t="s">
        <v>42</v>
      </c>
      <c r="B24" s="21"/>
      <c r="D24" s="21"/>
      <c r="F24" s="21"/>
    </row>
    <row r="25" spans="1:11" ht="33" customHeight="1" x14ac:dyDescent="0.15">
      <c r="B25" s="22" t="s">
        <v>43</v>
      </c>
      <c r="D25" s="22" t="s">
        <v>206</v>
      </c>
      <c r="F25" s="22" t="s">
        <v>44</v>
      </c>
    </row>
    <row r="26" spans="1:11" ht="37.5" customHeight="1" x14ac:dyDescent="0.15">
      <c r="A26" s="20" t="s">
        <v>45</v>
      </c>
      <c r="B26" s="21"/>
      <c r="D26" s="21"/>
      <c r="F26" s="21"/>
    </row>
    <row r="27" spans="1:11" ht="25.5" customHeight="1" x14ac:dyDescent="0.15">
      <c r="B27" s="22" t="s">
        <v>43</v>
      </c>
      <c r="D27" s="22" t="s">
        <v>276</v>
      </c>
      <c r="F27" s="22" t="s">
        <v>46</v>
      </c>
    </row>
    <row r="28" spans="1:11" ht="61.5" customHeight="1" x14ac:dyDescent="0.15">
      <c r="A28" s="117" t="s">
        <v>47</v>
      </c>
      <c r="B28" s="117"/>
    </row>
  </sheetData>
  <mergeCells count="12">
    <mergeCell ref="A28:B28"/>
    <mergeCell ref="A1:K1"/>
    <mergeCell ref="A2:A5"/>
    <mergeCell ref="B2:B5"/>
    <mergeCell ref="C2:C5"/>
    <mergeCell ref="D2:K2"/>
    <mergeCell ref="D3:K3"/>
    <mergeCell ref="D4:G4"/>
    <mergeCell ref="H4:H5"/>
    <mergeCell ref="I4:I5"/>
    <mergeCell ref="J4:J5"/>
    <mergeCell ref="K4:K5"/>
  </mergeCells>
  <phoneticPr fontId="0" type="noConversion"/>
  <pageMargins left="0.4" right="0.4" top="0.4" bottom="0.4" header="0.1" footer="0.1"/>
  <pageSetup paperSize="9" scale="48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58"/>
  <sheetViews>
    <sheetView zoomScale="80" zoomScaleNormal="80" workbookViewId="0">
      <selection activeCell="B44" sqref="B44"/>
    </sheetView>
  </sheetViews>
  <sheetFormatPr defaultRowHeight="22.5" x14ac:dyDescent="0.15"/>
  <cols>
    <col min="1" max="1" width="66.85546875" style="69" customWidth="1"/>
    <col min="2" max="10" width="24.85546875" style="69" customWidth="1"/>
    <col min="11" max="16384" width="9.140625" style="69"/>
  </cols>
  <sheetData>
    <row r="1" spans="1:10" x14ac:dyDescent="0.15">
      <c r="A1" s="124" t="s">
        <v>592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15">
      <c r="A2" s="123" t="s">
        <v>711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15">
      <c r="J3" s="73" t="s">
        <v>1</v>
      </c>
    </row>
    <row r="4" spans="1:10" ht="0.75" customHeight="1" x14ac:dyDescent="0.15">
      <c r="I4" s="74" t="s">
        <v>2</v>
      </c>
      <c r="J4" s="73" t="s">
        <v>49</v>
      </c>
    </row>
    <row r="5" spans="1:10" ht="45" hidden="1" x14ac:dyDescent="0.15">
      <c r="I5" s="74" t="s">
        <v>5</v>
      </c>
      <c r="J5" s="73" t="s">
        <v>6</v>
      </c>
    </row>
    <row r="6" spans="1:10" x14ac:dyDescent="0.15">
      <c r="A6" s="120" t="s">
        <v>3</v>
      </c>
      <c r="B6" s="120"/>
      <c r="C6" s="122" t="s">
        <v>4</v>
      </c>
      <c r="D6" s="122"/>
      <c r="E6" s="122"/>
      <c r="F6" s="122"/>
      <c r="G6" s="122"/>
      <c r="I6" s="74" t="s">
        <v>9</v>
      </c>
      <c r="J6" s="73" t="s">
        <v>10</v>
      </c>
    </row>
    <row r="7" spans="1:10" x14ac:dyDescent="0.15">
      <c r="A7" s="120" t="s">
        <v>50</v>
      </c>
      <c r="B7" s="120"/>
      <c r="C7" s="122" t="s">
        <v>12</v>
      </c>
      <c r="D7" s="122"/>
      <c r="E7" s="122"/>
      <c r="F7" s="122"/>
      <c r="G7" s="122"/>
      <c r="I7" s="74" t="s">
        <v>13</v>
      </c>
      <c r="J7" s="73" t="s">
        <v>14</v>
      </c>
    </row>
    <row r="8" spans="1:10" x14ac:dyDescent="0.15">
      <c r="A8" s="120" t="s">
        <v>15</v>
      </c>
      <c r="B8" s="120"/>
      <c r="C8" s="122" t="s">
        <v>16</v>
      </c>
      <c r="D8" s="122"/>
      <c r="E8" s="122"/>
      <c r="F8" s="122"/>
      <c r="G8" s="122"/>
      <c r="I8" s="74" t="s">
        <v>51</v>
      </c>
      <c r="J8" s="73" t="s">
        <v>18</v>
      </c>
    </row>
    <row r="9" spans="1:10" ht="24" customHeight="1" x14ac:dyDescent="0.15">
      <c r="A9" s="120" t="s">
        <v>19</v>
      </c>
      <c r="B9" s="120"/>
      <c r="C9" s="123"/>
      <c r="D9" s="123"/>
      <c r="E9" s="123"/>
      <c r="F9" s="123"/>
      <c r="G9" s="123"/>
      <c r="I9" s="74" t="s">
        <v>20</v>
      </c>
      <c r="J9" s="73" t="s">
        <v>21</v>
      </c>
    </row>
    <row r="10" spans="1:10" x14ac:dyDescent="0.15">
      <c r="A10" s="124" t="s">
        <v>593</v>
      </c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x14ac:dyDescent="0.15">
      <c r="A11" s="121" t="s">
        <v>53</v>
      </c>
      <c r="B11" s="121" t="s">
        <v>54</v>
      </c>
      <c r="C11" s="121" t="s">
        <v>594</v>
      </c>
      <c r="D11" s="121"/>
      <c r="E11" s="121"/>
      <c r="F11" s="121"/>
      <c r="G11" s="121"/>
      <c r="H11" s="121"/>
      <c r="I11" s="121"/>
      <c r="J11" s="121"/>
    </row>
    <row r="12" spans="1:10" x14ac:dyDescent="0.15">
      <c r="A12" s="121"/>
      <c r="B12" s="121"/>
      <c r="C12" s="121" t="s">
        <v>216</v>
      </c>
      <c r="D12" s="121"/>
      <c r="E12" s="121" t="s">
        <v>295</v>
      </c>
      <c r="F12" s="121"/>
      <c r="G12" s="121"/>
      <c r="H12" s="121"/>
      <c r="I12" s="121"/>
      <c r="J12" s="121"/>
    </row>
    <row r="13" spans="1:10" x14ac:dyDescent="0.15">
      <c r="A13" s="121"/>
      <c r="B13" s="121"/>
      <c r="C13" s="121"/>
      <c r="D13" s="127"/>
      <c r="E13" s="121" t="s">
        <v>595</v>
      </c>
      <c r="F13" s="121"/>
      <c r="G13" s="121" t="s">
        <v>596</v>
      </c>
      <c r="H13" s="121"/>
      <c r="I13" s="121" t="s">
        <v>597</v>
      </c>
      <c r="J13" s="121"/>
    </row>
    <row r="14" spans="1:10" ht="45" x14ac:dyDescent="0.15">
      <c r="A14" s="121"/>
      <c r="B14" s="121"/>
      <c r="C14" s="73" t="s">
        <v>598</v>
      </c>
      <c r="D14" s="73" t="s">
        <v>599</v>
      </c>
      <c r="E14" s="73" t="s">
        <v>598</v>
      </c>
      <c r="F14" s="73" t="s">
        <v>599</v>
      </c>
      <c r="G14" s="73" t="s">
        <v>598</v>
      </c>
      <c r="H14" s="73" t="s">
        <v>599</v>
      </c>
      <c r="I14" s="73" t="s">
        <v>598</v>
      </c>
      <c r="J14" s="73" t="s">
        <v>599</v>
      </c>
    </row>
    <row r="15" spans="1:10" x14ac:dyDescent="0.15">
      <c r="A15" s="73" t="s">
        <v>60</v>
      </c>
      <c r="B15" s="73" t="s">
        <v>61</v>
      </c>
      <c r="C15" s="73" t="s">
        <v>62</v>
      </c>
      <c r="D15" s="73" t="s">
        <v>63</v>
      </c>
      <c r="E15" s="73" t="s">
        <v>64</v>
      </c>
      <c r="F15" s="73" t="s">
        <v>65</v>
      </c>
      <c r="G15" s="73" t="s">
        <v>151</v>
      </c>
      <c r="H15" s="73" t="s">
        <v>152</v>
      </c>
      <c r="I15" s="73" t="s">
        <v>153</v>
      </c>
      <c r="J15" s="73" t="s">
        <v>154</v>
      </c>
    </row>
    <row r="16" spans="1:10" ht="45" x14ac:dyDescent="0.15">
      <c r="A16" s="79" t="s">
        <v>600</v>
      </c>
      <c r="B16" s="80" t="s">
        <v>121</v>
      </c>
      <c r="C16" s="78">
        <f t="shared" ref="C16:C57" si="0">E16+G16+I16</f>
        <v>2</v>
      </c>
      <c r="D16" s="78">
        <f t="shared" ref="D16:D57" si="1">F16+H16+J16</f>
        <v>2</v>
      </c>
      <c r="E16" s="78">
        <v>2</v>
      </c>
      <c r="F16" s="78">
        <v>2</v>
      </c>
      <c r="G16" s="78">
        <v>0</v>
      </c>
      <c r="H16" s="78">
        <v>0</v>
      </c>
      <c r="I16" s="78">
        <v>0</v>
      </c>
      <c r="J16" s="78">
        <v>0</v>
      </c>
    </row>
    <row r="17" spans="1:10" ht="67.5" x14ac:dyDescent="0.15">
      <c r="A17" s="75" t="s">
        <v>601</v>
      </c>
      <c r="B17" s="73" t="s">
        <v>123</v>
      </c>
      <c r="C17" s="76">
        <f t="shared" si="0"/>
        <v>1</v>
      </c>
      <c r="D17" s="76">
        <f t="shared" si="1"/>
        <v>1</v>
      </c>
      <c r="E17" s="76">
        <v>1</v>
      </c>
      <c r="F17" s="76">
        <v>1</v>
      </c>
      <c r="G17" s="76">
        <v>0</v>
      </c>
      <c r="H17" s="76">
        <v>0</v>
      </c>
      <c r="I17" s="76">
        <v>0</v>
      </c>
      <c r="J17" s="76">
        <v>0</v>
      </c>
    </row>
    <row r="18" spans="1:10" ht="67.5" x14ac:dyDescent="0.15">
      <c r="A18" s="75" t="s">
        <v>602</v>
      </c>
      <c r="B18" s="73" t="s">
        <v>603</v>
      </c>
      <c r="C18" s="76">
        <f t="shared" si="0"/>
        <v>1</v>
      </c>
      <c r="D18" s="76">
        <f t="shared" si="1"/>
        <v>1</v>
      </c>
      <c r="E18" s="76">
        <v>1</v>
      </c>
      <c r="F18" s="76">
        <v>1</v>
      </c>
      <c r="G18" s="76">
        <v>0</v>
      </c>
      <c r="H18" s="76">
        <v>0</v>
      </c>
      <c r="I18" s="76">
        <v>0</v>
      </c>
      <c r="J18" s="76">
        <v>0</v>
      </c>
    </row>
    <row r="19" spans="1:10" ht="67.5" x14ac:dyDescent="0.15">
      <c r="A19" s="75" t="s">
        <v>604</v>
      </c>
      <c r="B19" s="73" t="s">
        <v>605</v>
      </c>
      <c r="C19" s="76">
        <f t="shared" si="0"/>
        <v>0</v>
      </c>
      <c r="D19" s="76">
        <f t="shared" si="1"/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</row>
    <row r="20" spans="1:10" ht="67.5" x14ac:dyDescent="0.15">
      <c r="A20" s="75" t="s">
        <v>606</v>
      </c>
      <c r="B20" s="73" t="s">
        <v>607</v>
      </c>
      <c r="C20" s="76">
        <f t="shared" si="0"/>
        <v>0</v>
      </c>
      <c r="D20" s="76">
        <f t="shared" si="1"/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</row>
    <row r="21" spans="1:10" ht="67.5" x14ac:dyDescent="0.15">
      <c r="A21" s="75" t="s">
        <v>608</v>
      </c>
      <c r="B21" s="73" t="s">
        <v>609</v>
      </c>
      <c r="C21" s="76">
        <f t="shared" si="0"/>
        <v>0</v>
      </c>
      <c r="D21" s="76">
        <f t="shared" si="1"/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</row>
    <row r="22" spans="1:10" ht="90" x14ac:dyDescent="0.15">
      <c r="A22" s="75" t="s">
        <v>610</v>
      </c>
      <c r="B22" s="73" t="s">
        <v>611</v>
      </c>
      <c r="C22" s="76">
        <f t="shared" si="0"/>
        <v>0</v>
      </c>
      <c r="D22" s="76">
        <f t="shared" si="1"/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</row>
    <row r="23" spans="1:10" ht="90" x14ac:dyDescent="0.15">
      <c r="A23" s="75" t="s">
        <v>612</v>
      </c>
      <c r="B23" s="73" t="s">
        <v>613</v>
      </c>
      <c r="C23" s="76">
        <f t="shared" si="0"/>
        <v>0</v>
      </c>
      <c r="D23" s="76">
        <f t="shared" si="1"/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</row>
    <row r="24" spans="1:10" ht="45" x14ac:dyDescent="0.15">
      <c r="A24" s="75" t="s">
        <v>614</v>
      </c>
      <c r="B24" s="73" t="s">
        <v>615</v>
      </c>
      <c r="C24" s="76">
        <f t="shared" si="0"/>
        <v>0</v>
      </c>
      <c r="D24" s="76">
        <f t="shared" si="1"/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</row>
    <row r="25" spans="1:10" x14ac:dyDescent="0.15">
      <c r="A25" s="75" t="s">
        <v>616</v>
      </c>
      <c r="B25" s="73" t="s">
        <v>617</v>
      </c>
      <c r="C25" s="76">
        <f t="shared" si="0"/>
        <v>0</v>
      </c>
      <c r="D25" s="76">
        <f t="shared" si="1"/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</row>
    <row r="26" spans="1:10" ht="45" x14ac:dyDescent="0.15">
      <c r="A26" s="75" t="s">
        <v>618</v>
      </c>
      <c r="B26" s="73" t="s">
        <v>125</v>
      </c>
      <c r="C26" s="76">
        <f t="shared" si="0"/>
        <v>0</v>
      </c>
      <c r="D26" s="76">
        <f t="shared" si="1"/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</row>
    <row r="27" spans="1:10" ht="45" x14ac:dyDescent="0.15">
      <c r="A27" s="75" t="s">
        <v>619</v>
      </c>
      <c r="B27" s="73" t="s">
        <v>127</v>
      </c>
      <c r="C27" s="76">
        <f t="shared" si="0"/>
        <v>0</v>
      </c>
      <c r="D27" s="76">
        <f t="shared" si="1"/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</row>
    <row r="28" spans="1:10" ht="45" x14ac:dyDescent="0.15">
      <c r="A28" s="75" t="s">
        <v>620</v>
      </c>
      <c r="B28" s="73" t="s">
        <v>232</v>
      </c>
      <c r="C28" s="76">
        <f t="shared" si="0"/>
        <v>0</v>
      </c>
      <c r="D28" s="76">
        <f t="shared" si="1"/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</row>
    <row r="29" spans="1:10" x14ac:dyDescent="0.15">
      <c r="A29" s="75" t="s">
        <v>621</v>
      </c>
      <c r="B29" s="73" t="s">
        <v>234</v>
      </c>
      <c r="C29" s="76">
        <f t="shared" si="0"/>
        <v>1</v>
      </c>
      <c r="D29" s="76">
        <f t="shared" si="1"/>
        <v>1</v>
      </c>
      <c r="E29" s="76">
        <v>1</v>
      </c>
      <c r="F29" s="76">
        <v>1</v>
      </c>
      <c r="G29" s="76">
        <v>0</v>
      </c>
      <c r="H29" s="76">
        <v>0</v>
      </c>
      <c r="I29" s="76">
        <v>0</v>
      </c>
      <c r="J29" s="76">
        <v>0</v>
      </c>
    </row>
    <row r="30" spans="1:10" x14ac:dyDescent="0.15">
      <c r="A30" s="75" t="s">
        <v>622</v>
      </c>
      <c r="B30" s="73" t="s">
        <v>236</v>
      </c>
      <c r="C30" s="76">
        <f t="shared" si="0"/>
        <v>0</v>
      </c>
      <c r="D30" s="76">
        <f t="shared" si="1"/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</row>
    <row r="31" spans="1:10" x14ac:dyDescent="0.15">
      <c r="A31" s="75" t="s">
        <v>623</v>
      </c>
      <c r="B31" s="73" t="s">
        <v>238</v>
      </c>
      <c r="C31" s="76">
        <f t="shared" si="0"/>
        <v>0</v>
      </c>
      <c r="D31" s="76">
        <f t="shared" si="1"/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</row>
    <row r="32" spans="1:10" ht="67.5" x14ac:dyDescent="0.15">
      <c r="A32" s="75" t="s">
        <v>624</v>
      </c>
      <c r="B32" s="73" t="s">
        <v>240</v>
      </c>
      <c r="C32" s="76">
        <f t="shared" si="0"/>
        <v>0</v>
      </c>
      <c r="D32" s="76">
        <f t="shared" si="1"/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</row>
    <row r="33" spans="1:10" x14ac:dyDescent="0.15">
      <c r="A33" s="75" t="s">
        <v>625</v>
      </c>
      <c r="B33" s="73" t="s">
        <v>242</v>
      </c>
      <c r="C33" s="76">
        <f t="shared" si="0"/>
        <v>0</v>
      </c>
      <c r="D33" s="76">
        <f t="shared" si="1"/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</row>
    <row r="34" spans="1:10" x14ac:dyDescent="0.15">
      <c r="A34" s="79" t="s">
        <v>626</v>
      </c>
      <c r="B34" s="80" t="s">
        <v>244</v>
      </c>
      <c r="C34" s="78">
        <f t="shared" si="0"/>
        <v>0</v>
      </c>
      <c r="D34" s="78">
        <f t="shared" si="1"/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</row>
    <row r="35" spans="1:10" x14ac:dyDescent="0.15">
      <c r="A35" s="75" t="s">
        <v>627</v>
      </c>
      <c r="B35" s="73" t="s">
        <v>246</v>
      </c>
      <c r="C35" s="76">
        <f t="shared" si="0"/>
        <v>0</v>
      </c>
      <c r="D35" s="76">
        <f t="shared" si="1"/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</row>
    <row r="36" spans="1:10" ht="45" x14ac:dyDescent="0.15">
      <c r="A36" s="75" t="s">
        <v>628</v>
      </c>
      <c r="B36" s="73" t="s">
        <v>629</v>
      </c>
      <c r="C36" s="76">
        <f t="shared" si="0"/>
        <v>0</v>
      </c>
      <c r="D36" s="76">
        <f t="shared" si="1"/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</row>
    <row r="37" spans="1:10" x14ac:dyDescent="0.15">
      <c r="A37" s="75" t="s">
        <v>630</v>
      </c>
      <c r="B37" s="73" t="s">
        <v>631</v>
      </c>
      <c r="C37" s="76">
        <f t="shared" si="0"/>
        <v>0</v>
      </c>
      <c r="D37" s="76">
        <f t="shared" si="1"/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</row>
    <row r="38" spans="1:10" x14ac:dyDescent="0.15">
      <c r="A38" s="75" t="s">
        <v>632</v>
      </c>
      <c r="B38" s="73" t="s">
        <v>633</v>
      </c>
      <c r="C38" s="76">
        <f t="shared" si="0"/>
        <v>0</v>
      </c>
      <c r="D38" s="76">
        <f t="shared" si="1"/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</row>
    <row r="39" spans="1:10" ht="45" x14ac:dyDescent="0.15">
      <c r="A39" s="75" t="s">
        <v>634</v>
      </c>
      <c r="B39" s="73" t="s">
        <v>635</v>
      </c>
      <c r="C39" s="76">
        <f t="shared" si="0"/>
        <v>0</v>
      </c>
      <c r="D39" s="76">
        <f t="shared" si="1"/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</row>
    <row r="40" spans="1:10" x14ac:dyDescent="0.15">
      <c r="A40" s="75" t="s">
        <v>636</v>
      </c>
      <c r="B40" s="73" t="s">
        <v>637</v>
      </c>
      <c r="C40" s="76">
        <f t="shared" si="0"/>
        <v>0</v>
      </c>
      <c r="D40" s="76">
        <f t="shared" si="1"/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</row>
    <row r="41" spans="1:10" x14ac:dyDescent="0.15">
      <c r="A41" s="75" t="s">
        <v>638</v>
      </c>
      <c r="B41" s="73" t="s">
        <v>248</v>
      </c>
      <c r="C41" s="76">
        <f t="shared" si="0"/>
        <v>0</v>
      </c>
      <c r="D41" s="76">
        <f t="shared" si="1"/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</row>
    <row r="42" spans="1:10" ht="45" x14ac:dyDescent="0.15">
      <c r="A42" s="75" t="s">
        <v>639</v>
      </c>
      <c r="B42" s="73" t="s">
        <v>640</v>
      </c>
      <c r="C42" s="76">
        <f t="shared" si="0"/>
        <v>0</v>
      </c>
      <c r="D42" s="76">
        <f t="shared" si="1"/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</row>
    <row r="43" spans="1:10" x14ac:dyDescent="0.15">
      <c r="A43" s="75" t="s">
        <v>641</v>
      </c>
      <c r="B43" s="73" t="s">
        <v>642</v>
      </c>
      <c r="C43" s="76">
        <f t="shared" si="0"/>
        <v>0</v>
      </c>
      <c r="D43" s="76">
        <f t="shared" si="1"/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</row>
    <row r="44" spans="1:10" x14ac:dyDescent="0.15">
      <c r="A44" s="75" t="s">
        <v>643</v>
      </c>
      <c r="B44" s="73" t="s">
        <v>644</v>
      </c>
      <c r="C44" s="76">
        <f t="shared" si="0"/>
        <v>0</v>
      </c>
      <c r="D44" s="76">
        <f t="shared" si="1"/>
        <v>0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</row>
    <row r="45" spans="1:10" ht="45" x14ac:dyDescent="0.15">
      <c r="A45" s="75" t="s">
        <v>645</v>
      </c>
      <c r="B45" s="73" t="s">
        <v>646</v>
      </c>
      <c r="C45" s="76">
        <f t="shared" si="0"/>
        <v>0</v>
      </c>
      <c r="D45" s="76">
        <f t="shared" si="1"/>
        <v>0</v>
      </c>
      <c r="E45" s="76">
        <v>0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</row>
    <row r="46" spans="1:10" x14ac:dyDescent="0.15">
      <c r="A46" s="75" t="s">
        <v>647</v>
      </c>
      <c r="B46" s="73" t="s">
        <v>648</v>
      </c>
      <c r="C46" s="76">
        <f t="shared" si="0"/>
        <v>0</v>
      </c>
      <c r="D46" s="76">
        <f t="shared" si="1"/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</row>
    <row r="47" spans="1:10" ht="45" x14ac:dyDescent="0.15">
      <c r="A47" s="75" t="s">
        <v>649</v>
      </c>
      <c r="B47" s="73" t="s">
        <v>650</v>
      </c>
      <c r="C47" s="76">
        <f t="shared" si="0"/>
        <v>0</v>
      </c>
      <c r="D47" s="76">
        <f t="shared" si="1"/>
        <v>0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</row>
    <row r="48" spans="1:10" ht="45" x14ac:dyDescent="0.15">
      <c r="A48" s="79" t="s">
        <v>651</v>
      </c>
      <c r="B48" s="80" t="s">
        <v>309</v>
      </c>
      <c r="C48" s="78">
        <f t="shared" si="0"/>
        <v>0</v>
      </c>
      <c r="D48" s="78">
        <f t="shared" si="1"/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</row>
    <row r="49" spans="1:10" ht="45" x14ac:dyDescent="0.15">
      <c r="A49" s="75" t="s">
        <v>652</v>
      </c>
      <c r="B49" s="73" t="s">
        <v>311</v>
      </c>
      <c r="C49" s="76">
        <f t="shared" si="0"/>
        <v>0</v>
      </c>
      <c r="D49" s="76">
        <f t="shared" si="1"/>
        <v>0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</row>
    <row r="50" spans="1:10" ht="45" x14ac:dyDescent="0.15">
      <c r="A50" s="75" t="s">
        <v>653</v>
      </c>
      <c r="B50" s="73" t="s">
        <v>313</v>
      </c>
      <c r="C50" s="76">
        <f t="shared" si="0"/>
        <v>0</v>
      </c>
      <c r="D50" s="76">
        <f t="shared" si="1"/>
        <v>0</v>
      </c>
      <c r="E50" s="76">
        <v>0</v>
      </c>
      <c r="F50" s="76">
        <v>0</v>
      </c>
      <c r="G50" s="76">
        <v>0</v>
      </c>
      <c r="H50" s="76">
        <v>0</v>
      </c>
      <c r="I50" s="76">
        <v>0</v>
      </c>
      <c r="J50" s="76">
        <v>0</v>
      </c>
    </row>
    <row r="51" spans="1:10" x14ac:dyDescent="0.15">
      <c r="A51" s="75" t="s">
        <v>654</v>
      </c>
      <c r="B51" s="73" t="s">
        <v>315</v>
      </c>
      <c r="C51" s="76">
        <f t="shared" si="0"/>
        <v>0</v>
      </c>
      <c r="D51" s="76">
        <f t="shared" si="1"/>
        <v>0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</row>
    <row r="52" spans="1:10" x14ac:dyDescent="0.15">
      <c r="A52" s="75" t="s">
        <v>655</v>
      </c>
      <c r="B52" s="73" t="s">
        <v>317</v>
      </c>
      <c r="C52" s="76">
        <f t="shared" si="0"/>
        <v>0</v>
      </c>
      <c r="D52" s="76">
        <f t="shared" si="1"/>
        <v>0</v>
      </c>
      <c r="E52" s="76">
        <v>0</v>
      </c>
      <c r="F52" s="76">
        <v>0</v>
      </c>
      <c r="G52" s="76">
        <v>0</v>
      </c>
      <c r="H52" s="76">
        <v>0</v>
      </c>
      <c r="I52" s="76">
        <v>0</v>
      </c>
      <c r="J52" s="76">
        <v>0</v>
      </c>
    </row>
    <row r="53" spans="1:10" x14ac:dyDescent="0.15">
      <c r="A53" s="75" t="s">
        <v>656</v>
      </c>
      <c r="B53" s="73" t="s">
        <v>657</v>
      </c>
      <c r="C53" s="76">
        <f t="shared" si="0"/>
        <v>0</v>
      </c>
      <c r="D53" s="76">
        <f t="shared" si="1"/>
        <v>0</v>
      </c>
      <c r="E53" s="76">
        <v>0</v>
      </c>
      <c r="F53" s="76">
        <v>0</v>
      </c>
      <c r="G53" s="76">
        <v>0</v>
      </c>
      <c r="H53" s="76">
        <v>0</v>
      </c>
      <c r="I53" s="76">
        <v>0</v>
      </c>
      <c r="J53" s="76">
        <v>0</v>
      </c>
    </row>
    <row r="54" spans="1:10" x14ac:dyDescent="0.15">
      <c r="A54" s="75" t="s">
        <v>658</v>
      </c>
      <c r="B54" s="73" t="s">
        <v>659</v>
      </c>
      <c r="C54" s="76">
        <f t="shared" si="0"/>
        <v>0</v>
      </c>
      <c r="D54" s="76">
        <f t="shared" si="1"/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</row>
    <row r="55" spans="1:10" x14ac:dyDescent="0.15">
      <c r="A55" s="75" t="s">
        <v>660</v>
      </c>
      <c r="B55" s="73" t="s">
        <v>661</v>
      </c>
      <c r="C55" s="76">
        <f t="shared" si="0"/>
        <v>0</v>
      </c>
      <c r="D55" s="76">
        <f t="shared" si="1"/>
        <v>0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</row>
    <row r="56" spans="1:10" ht="45" x14ac:dyDescent="0.15">
      <c r="A56" s="75" t="s">
        <v>662</v>
      </c>
      <c r="B56" s="73" t="s">
        <v>663</v>
      </c>
      <c r="C56" s="76">
        <f t="shared" si="0"/>
        <v>0</v>
      </c>
      <c r="D56" s="76">
        <f t="shared" si="1"/>
        <v>0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6">
        <v>0</v>
      </c>
    </row>
    <row r="57" spans="1:10" ht="67.5" x14ac:dyDescent="0.15">
      <c r="A57" s="75" t="s">
        <v>664</v>
      </c>
      <c r="B57" s="73" t="s">
        <v>665</v>
      </c>
      <c r="C57" s="76">
        <f t="shared" si="0"/>
        <v>0</v>
      </c>
      <c r="D57" s="76">
        <f t="shared" si="1"/>
        <v>0</v>
      </c>
      <c r="E57" s="76">
        <v>0</v>
      </c>
      <c r="F57" s="76">
        <v>0</v>
      </c>
      <c r="G57" s="76">
        <v>0</v>
      </c>
      <c r="H57" s="76">
        <v>0</v>
      </c>
      <c r="I57" s="76">
        <v>0</v>
      </c>
      <c r="J57" s="76">
        <v>0</v>
      </c>
    </row>
    <row r="58" spans="1:10" x14ac:dyDescent="0.15">
      <c r="A58" s="77" t="s">
        <v>132</v>
      </c>
      <c r="B58" s="80" t="s">
        <v>133</v>
      </c>
      <c r="C58" s="78">
        <f>VLOOKUP("1000",B:U,2,0) + VLOOKUP("2000",B:U,2,0) + VLOOKUP("3000",B:U,2,0)</f>
        <v>2</v>
      </c>
      <c r="D58" s="78">
        <f>VLOOKUP("1000",B:U,3,0) + VLOOKUP("2000",B:U,3,0) + VLOOKUP("3000",B:U,3,0)</f>
        <v>2</v>
      </c>
      <c r="E58" s="78">
        <f>VLOOKUP("1000",B:U,4,0) + VLOOKUP("2000",B:U,4,0) + VLOOKUP("3000",B:U,4,0)</f>
        <v>2</v>
      </c>
      <c r="F58" s="78">
        <f>VLOOKUP("1000",B:U,5,0) + VLOOKUP("2000",B:U,5,0) + VLOOKUP("3000",B:U,5,0)</f>
        <v>2</v>
      </c>
      <c r="G58" s="78">
        <f>VLOOKUP("1000",B:U,6,0) + VLOOKUP("2000",B:U,6,0) + VLOOKUP("3000",B:U,6,0)</f>
        <v>0</v>
      </c>
      <c r="H58" s="78">
        <f>VLOOKUP("1000",B:U,7,0) + VLOOKUP("2000",B:U,7,0) + VLOOKUP("3000",B:U,7,0)</f>
        <v>0</v>
      </c>
      <c r="I58" s="78">
        <f>VLOOKUP("1000",B:U,8,0) + VLOOKUP("2000",B:U,8,0) + VLOOKUP("3000",B:U,8,0)</f>
        <v>0</v>
      </c>
      <c r="J58" s="78">
        <f>VLOOKUP("1000",B:U,9,0) + VLOOKUP("2000",B:U,9,0) + VLOOKUP("3000",B:U,9,0)</f>
        <v>0</v>
      </c>
    </row>
  </sheetData>
  <mergeCells count="19">
    <mergeCell ref="A1:J1"/>
    <mergeCell ref="A2:J2"/>
    <mergeCell ref="A6:B6"/>
    <mergeCell ref="C6:G6"/>
    <mergeCell ref="A7:B7"/>
    <mergeCell ref="C7:G7"/>
    <mergeCell ref="A8:B8"/>
    <mergeCell ref="C8:G8"/>
    <mergeCell ref="A9:B9"/>
    <mergeCell ref="C9:G9"/>
    <mergeCell ref="A10:J10"/>
    <mergeCell ref="A11:A14"/>
    <mergeCell ref="B11:B14"/>
    <mergeCell ref="C11:J11"/>
    <mergeCell ref="C12:D13"/>
    <mergeCell ref="E12:J12"/>
    <mergeCell ref="E13:F13"/>
    <mergeCell ref="G13:H13"/>
    <mergeCell ref="I13:J13"/>
  </mergeCells>
  <phoneticPr fontId="0" type="noConversion"/>
  <pageMargins left="0.4" right="0.4" top="0.4" bottom="0.4" header="0.1" footer="0.1"/>
  <pageSetup paperSize="9" scale="52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48"/>
  <sheetViews>
    <sheetView topLeftCell="A10" zoomScale="90" zoomScaleNormal="90" workbookViewId="0">
      <selection sqref="A1:XFD1048576"/>
    </sheetView>
  </sheetViews>
  <sheetFormatPr defaultRowHeight="18" x14ac:dyDescent="0.15"/>
  <cols>
    <col min="1" max="1" width="66.85546875" style="13" customWidth="1"/>
    <col min="2" max="11" width="24.85546875" style="13" customWidth="1"/>
    <col min="12" max="16384" width="9.140625" style="13"/>
  </cols>
  <sheetData>
    <row r="1" spans="1:11" x14ac:dyDescent="0.15">
      <c r="A1" s="116" t="s">
        <v>666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15">
      <c r="A2" s="115" t="s">
        <v>53</v>
      </c>
      <c r="B2" s="115" t="s">
        <v>54</v>
      </c>
      <c r="C2" s="115" t="s">
        <v>463</v>
      </c>
      <c r="D2" s="115"/>
      <c r="E2" s="115"/>
      <c r="F2" s="115"/>
      <c r="G2" s="115" t="s">
        <v>464</v>
      </c>
      <c r="H2" s="115"/>
      <c r="I2" s="115"/>
      <c r="J2" s="115"/>
      <c r="K2" s="115"/>
    </row>
    <row r="3" spans="1:11" x14ac:dyDescent="0.15">
      <c r="A3" s="115"/>
      <c r="B3" s="115"/>
      <c r="C3" s="115" t="s">
        <v>216</v>
      </c>
      <c r="D3" s="115" t="s">
        <v>295</v>
      </c>
      <c r="E3" s="115"/>
      <c r="F3" s="115"/>
      <c r="G3" s="115" t="s">
        <v>216</v>
      </c>
      <c r="H3" s="115" t="s">
        <v>295</v>
      </c>
      <c r="I3" s="115"/>
      <c r="J3" s="115"/>
      <c r="K3" s="115"/>
    </row>
    <row r="4" spans="1:11" ht="90" x14ac:dyDescent="0.15">
      <c r="A4" s="115"/>
      <c r="B4" s="115"/>
      <c r="C4" s="115"/>
      <c r="D4" s="14" t="s">
        <v>469</v>
      </c>
      <c r="E4" s="14" t="s">
        <v>470</v>
      </c>
      <c r="F4" s="14" t="s">
        <v>503</v>
      </c>
      <c r="G4" s="115"/>
      <c r="H4" s="14" t="s">
        <v>472</v>
      </c>
      <c r="I4" s="14" t="s">
        <v>667</v>
      </c>
      <c r="J4" s="14" t="s">
        <v>668</v>
      </c>
      <c r="K4" s="14" t="s">
        <v>669</v>
      </c>
    </row>
    <row r="5" spans="1:11" x14ac:dyDescent="0.15">
      <c r="A5" s="115" t="s">
        <v>60</v>
      </c>
      <c r="B5" s="115" t="s">
        <v>61</v>
      </c>
      <c r="C5" s="14" t="s">
        <v>62</v>
      </c>
      <c r="D5" s="14" t="s">
        <v>63</v>
      </c>
      <c r="E5" s="14" t="s">
        <v>64</v>
      </c>
      <c r="F5" s="14" t="s">
        <v>65</v>
      </c>
      <c r="G5" s="14" t="s">
        <v>151</v>
      </c>
      <c r="H5" s="14" t="s">
        <v>152</v>
      </c>
      <c r="I5" s="14" t="s">
        <v>153</v>
      </c>
      <c r="J5" s="14" t="s">
        <v>154</v>
      </c>
      <c r="K5" s="14" t="s">
        <v>155</v>
      </c>
    </row>
    <row r="6" spans="1:11" x14ac:dyDescent="0.15">
      <c r="A6" s="24" t="s">
        <v>600</v>
      </c>
      <c r="B6" s="18" t="s">
        <v>121</v>
      </c>
      <c r="C6" s="19">
        <f t="shared" ref="C6:C47" si="0">D6+E6+F6</f>
        <v>0</v>
      </c>
      <c r="D6" s="19">
        <v>0</v>
      </c>
      <c r="E6" s="19">
        <v>0</v>
      </c>
      <c r="F6" s="19">
        <v>0</v>
      </c>
      <c r="G6" s="19">
        <f t="shared" ref="G6:G47" si="1">H6+I6+J6+K6</f>
        <v>0</v>
      </c>
      <c r="H6" s="19">
        <v>0</v>
      </c>
      <c r="I6" s="19">
        <v>0</v>
      </c>
      <c r="J6" s="19">
        <v>0</v>
      </c>
      <c r="K6" s="19">
        <v>0</v>
      </c>
    </row>
    <row r="7" spans="1:11" ht="54" x14ac:dyDescent="0.15">
      <c r="A7" s="15" t="s">
        <v>601</v>
      </c>
      <c r="B7" s="14" t="s">
        <v>123</v>
      </c>
      <c r="C7" s="16">
        <f t="shared" si="0"/>
        <v>0</v>
      </c>
      <c r="D7" s="16">
        <v>0</v>
      </c>
      <c r="E7" s="16">
        <v>0</v>
      </c>
      <c r="F7" s="16">
        <v>0</v>
      </c>
      <c r="G7" s="16">
        <f t="shared" si="1"/>
        <v>0</v>
      </c>
      <c r="H7" s="16">
        <v>0</v>
      </c>
      <c r="I7" s="16">
        <v>0</v>
      </c>
      <c r="J7" s="16">
        <v>0</v>
      </c>
      <c r="K7" s="16">
        <v>0</v>
      </c>
    </row>
    <row r="8" spans="1:11" ht="54" x14ac:dyDescent="0.15">
      <c r="A8" s="15" t="s">
        <v>602</v>
      </c>
      <c r="B8" s="14" t="s">
        <v>603</v>
      </c>
      <c r="C8" s="16">
        <f t="shared" si="0"/>
        <v>0</v>
      </c>
      <c r="D8" s="16">
        <v>0</v>
      </c>
      <c r="E8" s="16">
        <v>0</v>
      </c>
      <c r="F8" s="16">
        <v>0</v>
      </c>
      <c r="G8" s="16">
        <f t="shared" si="1"/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36" x14ac:dyDescent="0.15">
      <c r="A9" s="15" t="s">
        <v>604</v>
      </c>
      <c r="B9" s="14" t="s">
        <v>605</v>
      </c>
      <c r="C9" s="16">
        <f t="shared" si="0"/>
        <v>0</v>
      </c>
      <c r="D9" s="16">
        <v>0</v>
      </c>
      <c r="E9" s="16">
        <v>0</v>
      </c>
      <c r="F9" s="16">
        <v>0</v>
      </c>
      <c r="G9" s="16">
        <f t="shared" si="1"/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54" x14ac:dyDescent="0.15">
      <c r="A10" s="15" t="s">
        <v>606</v>
      </c>
      <c r="B10" s="14" t="s">
        <v>607</v>
      </c>
      <c r="C10" s="16">
        <f t="shared" si="0"/>
        <v>0</v>
      </c>
      <c r="D10" s="16">
        <v>0</v>
      </c>
      <c r="E10" s="16">
        <v>0</v>
      </c>
      <c r="F10" s="16">
        <v>0</v>
      </c>
      <c r="G10" s="16">
        <f t="shared" si="1"/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54" x14ac:dyDescent="0.15">
      <c r="A11" s="15" t="s">
        <v>608</v>
      </c>
      <c r="B11" s="14" t="s">
        <v>609</v>
      </c>
      <c r="C11" s="16">
        <f t="shared" si="0"/>
        <v>0</v>
      </c>
      <c r="D11" s="16">
        <v>0</v>
      </c>
      <c r="E11" s="16">
        <v>0</v>
      </c>
      <c r="F11" s="16">
        <v>0</v>
      </c>
      <c r="G11" s="16">
        <f t="shared" si="1"/>
        <v>0</v>
      </c>
      <c r="H11" s="16">
        <v>0</v>
      </c>
      <c r="I11" s="16">
        <v>0</v>
      </c>
      <c r="J11" s="16">
        <v>0</v>
      </c>
      <c r="K11" s="16">
        <v>0</v>
      </c>
    </row>
    <row r="12" spans="1:11" ht="54" x14ac:dyDescent="0.15">
      <c r="A12" s="15" t="s">
        <v>610</v>
      </c>
      <c r="B12" s="14" t="s">
        <v>611</v>
      </c>
      <c r="C12" s="16">
        <f t="shared" si="0"/>
        <v>0</v>
      </c>
      <c r="D12" s="16">
        <v>0</v>
      </c>
      <c r="E12" s="16">
        <v>0</v>
      </c>
      <c r="F12" s="16">
        <v>0</v>
      </c>
      <c r="G12" s="16">
        <f t="shared" si="1"/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ht="54" x14ac:dyDescent="0.15">
      <c r="A13" s="15" t="s">
        <v>612</v>
      </c>
      <c r="B13" s="14" t="s">
        <v>613</v>
      </c>
      <c r="C13" s="16">
        <f t="shared" si="0"/>
        <v>0</v>
      </c>
      <c r="D13" s="16">
        <v>0</v>
      </c>
      <c r="E13" s="16">
        <v>0</v>
      </c>
      <c r="F13" s="16">
        <v>0</v>
      </c>
      <c r="G13" s="16">
        <f t="shared" si="1"/>
        <v>0</v>
      </c>
      <c r="H13" s="16">
        <v>0</v>
      </c>
      <c r="I13" s="16">
        <v>0</v>
      </c>
      <c r="J13" s="16">
        <v>0</v>
      </c>
      <c r="K13" s="16">
        <v>0</v>
      </c>
    </row>
    <row r="14" spans="1:11" ht="36" x14ac:dyDescent="0.15">
      <c r="A14" s="15" t="s">
        <v>614</v>
      </c>
      <c r="B14" s="14" t="s">
        <v>615</v>
      </c>
      <c r="C14" s="16">
        <f t="shared" si="0"/>
        <v>0</v>
      </c>
      <c r="D14" s="16">
        <v>0</v>
      </c>
      <c r="E14" s="16">
        <v>0</v>
      </c>
      <c r="F14" s="16">
        <v>0</v>
      </c>
      <c r="G14" s="16">
        <f t="shared" si="1"/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x14ac:dyDescent="0.15">
      <c r="A15" s="15" t="s">
        <v>616</v>
      </c>
      <c r="B15" s="14" t="s">
        <v>617</v>
      </c>
      <c r="C15" s="16">
        <f t="shared" si="0"/>
        <v>0</v>
      </c>
      <c r="D15" s="16">
        <v>0</v>
      </c>
      <c r="E15" s="16">
        <v>0</v>
      </c>
      <c r="F15" s="16">
        <v>0</v>
      </c>
      <c r="G15" s="16">
        <f t="shared" si="1"/>
        <v>0</v>
      </c>
      <c r="H15" s="16">
        <v>0</v>
      </c>
      <c r="I15" s="16">
        <v>0</v>
      </c>
      <c r="J15" s="16">
        <v>0</v>
      </c>
      <c r="K15" s="16">
        <v>0</v>
      </c>
    </row>
    <row r="16" spans="1:11" x14ac:dyDescent="0.15">
      <c r="A16" s="15" t="s">
        <v>618</v>
      </c>
      <c r="B16" s="14" t="s">
        <v>125</v>
      </c>
      <c r="C16" s="16">
        <f t="shared" si="0"/>
        <v>0</v>
      </c>
      <c r="D16" s="16">
        <v>0</v>
      </c>
      <c r="E16" s="16">
        <v>0</v>
      </c>
      <c r="F16" s="16">
        <v>0</v>
      </c>
      <c r="G16" s="16">
        <f t="shared" si="1"/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36" x14ac:dyDescent="0.15">
      <c r="A17" s="15" t="s">
        <v>619</v>
      </c>
      <c r="B17" s="14" t="s">
        <v>127</v>
      </c>
      <c r="C17" s="16">
        <f t="shared" si="0"/>
        <v>0</v>
      </c>
      <c r="D17" s="16">
        <v>0</v>
      </c>
      <c r="E17" s="16">
        <v>0</v>
      </c>
      <c r="F17" s="16">
        <v>0</v>
      </c>
      <c r="G17" s="16">
        <f t="shared" si="1"/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x14ac:dyDescent="0.15">
      <c r="A18" s="15" t="s">
        <v>620</v>
      </c>
      <c r="B18" s="14" t="s">
        <v>232</v>
      </c>
      <c r="C18" s="16">
        <f t="shared" si="0"/>
        <v>0</v>
      </c>
      <c r="D18" s="16">
        <v>0</v>
      </c>
      <c r="E18" s="16">
        <v>0</v>
      </c>
      <c r="F18" s="16">
        <v>0</v>
      </c>
      <c r="G18" s="16">
        <f t="shared" si="1"/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x14ac:dyDescent="0.15">
      <c r="A19" s="15" t="s">
        <v>621</v>
      </c>
      <c r="B19" s="14" t="s">
        <v>234</v>
      </c>
      <c r="C19" s="16">
        <f t="shared" si="0"/>
        <v>0</v>
      </c>
      <c r="D19" s="16">
        <v>0</v>
      </c>
      <c r="E19" s="16">
        <v>0</v>
      </c>
      <c r="F19" s="16">
        <v>0</v>
      </c>
      <c r="G19" s="16">
        <f t="shared" si="1"/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x14ac:dyDescent="0.15">
      <c r="A20" s="15" t="s">
        <v>622</v>
      </c>
      <c r="B20" s="14" t="s">
        <v>236</v>
      </c>
      <c r="C20" s="16">
        <f t="shared" si="0"/>
        <v>0</v>
      </c>
      <c r="D20" s="16">
        <v>0</v>
      </c>
      <c r="E20" s="16">
        <v>0</v>
      </c>
      <c r="F20" s="16">
        <v>0</v>
      </c>
      <c r="G20" s="16">
        <f t="shared" si="1"/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x14ac:dyDescent="0.15">
      <c r="A21" s="15" t="s">
        <v>623</v>
      </c>
      <c r="B21" s="14" t="s">
        <v>238</v>
      </c>
      <c r="C21" s="16">
        <f t="shared" si="0"/>
        <v>0</v>
      </c>
      <c r="D21" s="16">
        <v>0</v>
      </c>
      <c r="E21" s="16">
        <v>0</v>
      </c>
      <c r="F21" s="16">
        <v>0</v>
      </c>
      <c r="G21" s="16">
        <f t="shared" si="1"/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36" x14ac:dyDescent="0.15">
      <c r="A22" s="15" t="s">
        <v>624</v>
      </c>
      <c r="B22" s="14" t="s">
        <v>240</v>
      </c>
      <c r="C22" s="16">
        <f t="shared" si="0"/>
        <v>0</v>
      </c>
      <c r="D22" s="16">
        <v>0</v>
      </c>
      <c r="E22" s="16">
        <v>0</v>
      </c>
      <c r="F22" s="16">
        <v>0</v>
      </c>
      <c r="G22" s="16">
        <f t="shared" si="1"/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x14ac:dyDescent="0.15">
      <c r="A23" s="15" t="s">
        <v>625</v>
      </c>
      <c r="B23" s="14" t="s">
        <v>242</v>
      </c>
      <c r="C23" s="16">
        <f t="shared" si="0"/>
        <v>0</v>
      </c>
      <c r="D23" s="16">
        <v>0</v>
      </c>
      <c r="E23" s="16">
        <v>0</v>
      </c>
      <c r="F23" s="16">
        <v>0</v>
      </c>
      <c r="G23" s="16">
        <f t="shared" si="1"/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x14ac:dyDescent="0.15">
      <c r="A24" s="24" t="s">
        <v>626</v>
      </c>
      <c r="B24" s="18" t="s">
        <v>244</v>
      </c>
      <c r="C24" s="19">
        <f t="shared" si="0"/>
        <v>0</v>
      </c>
      <c r="D24" s="19">
        <v>0</v>
      </c>
      <c r="E24" s="19">
        <v>0</v>
      </c>
      <c r="F24" s="19">
        <v>0</v>
      </c>
      <c r="G24" s="19">
        <f t="shared" si="1"/>
        <v>0</v>
      </c>
      <c r="H24" s="19">
        <v>0</v>
      </c>
      <c r="I24" s="19">
        <v>0</v>
      </c>
      <c r="J24" s="19">
        <v>0</v>
      </c>
      <c r="K24" s="19">
        <v>0</v>
      </c>
    </row>
    <row r="25" spans="1:11" x14ac:dyDescent="0.15">
      <c r="A25" s="15" t="s">
        <v>627</v>
      </c>
      <c r="B25" s="14" t="s">
        <v>246</v>
      </c>
      <c r="C25" s="16">
        <f t="shared" si="0"/>
        <v>0</v>
      </c>
      <c r="D25" s="16">
        <v>0</v>
      </c>
      <c r="E25" s="16">
        <v>0</v>
      </c>
      <c r="F25" s="16">
        <v>0</v>
      </c>
      <c r="G25" s="16">
        <f t="shared" si="1"/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x14ac:dyDescent="0.15">
      <c r="A26" s="15" t="s">
        <v>628</v>
      </c>
      <c r="B26" s="14" t="s">
        <v>629</v>
      </c>
      <c r="C26" s="16">
        <f t="shared" si="0"/>
        <v>0</v>
      </c>
      <c r="D26" s="16">
        <v>0</v>
      </c>
      <c r="E26" s="16">
        <v>0</v>
      </c>
      <c r="F26" s="16">
        <v>0</v>
      </c>
      <c r="G26" s="16">
        <f t="shared" si="1"/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x14ac:dyDescent="0.15">
      <c r="A27" s="15" t="s">
        <v>630</v>
      </c>
      <c r="B27" s="14" t="s">
        <v>631</v>
      </c>
      <c r="C27" s="16">
        <f t="shared" si="0"/>
        <v>0</v>
      </c>
      <c r="D27" s="16">
        <v>0</v>
      </c>
      <c r="E27" s="16">
        <v>0</v>
      </c>
      <c r="F27" s="16">
        <v>0</v>
      </c>
      <c r="G27" s="16">
        <f t="shared" si="1"/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x14ac:dyDescent="0.15">
      <c r="A28" s="15" t="s">
        <v>632</v>
      </c>
      <c r="B28" s="14" t="s">
        <v>633</v>
      </c>
      <c r="C28" s="16">
        <f t="shared" si="0"/>
        <v>0</v>
      </c>
      <c r="D28" s="16">
        <v>0</v>
      </c>
      <c r="E28" s="16">
        <v>0</v>
      </c>
      <c r="F28" s="16">
        <v>0</v>
      </c>
      <c r="G28" s="16">
        <f t="shared" si="1"/>
        <v>0</v>
      </c>
      <c r="H28" s="16">
        <v>0</v>
      </c>
      <c r="I28" s="16">
        <v>0</v>
      </c>
      <c r="J28" s="16">
        <v>0</v>
      </c>
      <c r="K28" s="16">
        <v>0</v>
      </c>
    </row>
    <row r="29" spans="1:11" x14ac:dyDescent="0.15">
      <c r="A29" s="15" t="s">
        <v>634</v>
      </c>
      <c r="B29" s="14" t="s">
        <v>635</v>
      </c>
      <c r="C29" s="16">
        <f t="shared" si="0"/>
        <v>0</v>
      </c>
      <c r="D29" s="16">
        <v>0</v>
      </c>
      <c r="E29" s="16">
        <v>0</v>
      </c>
      <c r="F29" s="16">
        <v>0</v>
      </c>
      <c r="G29" s="16">
        <f t="shared" si="1"/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x14ac:dyDescent="0.15">
      <c r="A30" s="15" t="s">
        <v>636</v>
      </c>
      <c r="B30" s="14" t="s">
        <v>637</v>
      </c>
      <c r="C30" s="16">
        <f t="shared" si="0"/>
        <v>0</v>
      </c>
      <c r="D30" s="16">
        <v>0</v>
      </c>
      <c r="E30" s="16">
        <v>0</v>
      </c>
      <c r="F30" s="16">
        <v>0</v>
      </c>
      <c r="G30" s="16">
        <f t="shared" si="1"/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x14ac:dyDescent="0.15">
      <c r="A31" s="15" t="s">
        <v>638</v>
      </c>
      <c r="B31" s="14" t="s">
        <v>248</v>
      </c>
      <c r="C31" s="16">
        <f t="shared" si="0"/>
        <v>0</v>
      </c>
      <c r="D31" s="16">
        <v>0</v>
      </c>
      <c r="E31" s="16">
        <v>0</v>
      </c>
      <c r="F31" s="16">
        <v>0</v>
      </c>
      <c r="G31" s="16">
        <f t="shared" si="1"/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x14ac:dyDescent="0.15">
      <c r="A32" s="15" t="s">
        <v>639</v>
      </c>
      <c r="B32" s="14" t="s">
        <v>640</v>
      </c>
      <c r="C32" s="16">
        <f t="shared" si="0"/>
        <v>0</v>
      </c>
      <c r="D32" s="16">
        <v>0</v>
      </c>
      <c r="E32" s="16">
        <v>0</v>
      </c>
      <c r="F32" s="16">
        <v>0</v>
      </c>
      <c r="G32" s="16">
        <f t="shared" si="1"/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x14ac:dyDescent="0.15">
      <c r="A33" s="15" t="s">
        <v>641</v>
      </c>
      <c r="B33" s="14" t="s">
        <v>642</v>
      </c>
      <c r="C33" s="16">
        <f t="shared" si="0"/>
        <v>0</v>
      </c>
      <c r="D33" s="16">
        <v>0</v>
      </c>
      <c r="E33" s="16">
        <v>0</v>
      </c>
      <c r="F33" s="16">
        <v>0</v>
      </c>
      <c r="G33" s="16">
        <f t="shared" si="1"/>
        <v>0</v>
      </c>
      <c r="H33" s="16">
        <v>0</v>
      </c>
      <c r="I33" s="16">
        <v>0</v>
      </c>
      <c r="J33" s="16">
        <v>0</v>
      </c>
      <c r="K33" s="16">
        <v>0</v>
      </c>
    </row>
    <row r="34" spans="1:11" x14ac:dyDescent="0.15">
      <c r="A34" s="15" t="s">
        <v>643</v>
      </c>
      <c r="B34" s="14" t="s">
        <v>644</v>
      </c>
      <c r="C34" s="16">
        <f t="shared" si="0"/>
        <v>0</v>
      </c>
      <c r="D34" s="16">
        <v>0</v>
      </c>
      <c r="E34" s="16">
        <v>0</v>
      </c>
      <c r="F34" s="16">
        <v>0</v>
      </c>
      <c r="G34" s="16">
        <f t="shared" si="1"/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x14ac:dyDescent="0.15">
      <c r="A35" s="15" t="s">
        <v>645</v>
      </c>
      <c r="B35" s="14" t="s">
        <v>646</v>
      </c>
      <c r="C35" s="16">
        <f t="shared" si="0"/>
        <v>0</v>
      </c>
      <c r="D35" s="16">
        <v>0</v>
      </c>
      <c r="E35" s="16">
        <v>0</v>
      </c>
      <c r="F35" s="16">
        <v>0</v>
      </c>
      <c r="G35" s="16">
        <f t="shared" si="1"/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x14ac:dyDescent="0.15">
      <c r="A36" s="15" t="s">
        <v>647</v>
      </c>
      <c r="B36" s="14" t="s">
        <v>648</v>
      </c>
      <c r="C36" s="16">
        <f t="shared" si="0"/>
        <v>0</v>
      </c>
      <c r="D36" s="16">
        <v>0</v>
      </c>
      <c r="E36" s="16">
        <v>0</v>
      </c>
      <c r="F36" s="16">
        <v>0</v>
      </c>
      <c r="G36" s="16">
        <f t="shared" si="1"/>
        <v>0</v>
      </c>
      <c r="H36" s="16">
        <v>0</v>
      </c>
      <c r="I36" s="16">
        <v>0</v>
      </c>
      <c r="J36" s="16">
        <v>0</v>
      </c>
      <c r="K36" s="16">
        <v>0</v>
      </c>
    </row>
    <row r="37" spans="1:11" ht="36" x14ac:dyDescent="0.15">
      <c r="A37" s="15" t="s">
        <v>649</v>
      </c>
      <c r="B37" s="14" t="s">
        <v>650</v>
      </c>
      <c r="C37" s="16">
        <f t="shared" si="0"/>
        <v>0</v>
      </c>
      <c r="D37" s="16">
        <v>0</v>
      </c>
      <c r="E37" s="16">
        <v>0</v>
      </c>
      <c r="F37" s="16">
        <v>0</v>
      </c>
      <c r="G37" s="16">
        <f t="shared" si="1"/>
        <v>0</v>
      </c>
      <c r="H37" s="16">
        <v>0</v>
      </c>
      <c r="I37" s="16">
        <v>0</v>
      </c>
      <c r="J37" s="16">
        <v>0</v>
      </c>
      <c r="K37" s="16">
        <v>0</v>
      </c>
    </row>
    <row r="38" spans="1:11" x14ac:dyDescent="0.15">
      <c r="A38" s="24" t="s">
        <v>651</v>
      </c>
      <c r="B38" s="18" t="s">
        <v>309</v>
      </c>
      <c r="C38" s="19">
        <f t="shared" si="0"/>
        <v>0</v>
      </c>
      <c r="D38" s="19">
        <v>0</v>
      </c>
      <c r="E38" s="19">
        <v>0</v>
      </c>
      <c r="F38" s="19">
        <v>0</v>
      </c>
      <c r="G38" s="19">
        <f t="shared" si="1"/>
        <v>0</v>
      </c>
      <c r="H38" s="19">
        <v>0</v>
      </c>
      <c r="I38" s="19">
        <v>0</v>
      </c>
      <c r="J38" s="19">
        <v>0</v>
      </c>
      <c r="K38" s="19">
        <v>0</v>
      </c>
    </row>
    <row r="39" spans="1:11" x14ac:dyDescent="0.15">
      <c r="A39" s="15" t="s">
        <v>652</v>
      </c>
      <c r="B39" s="14" t="s">
        <v>311</v>
      </c>
      <c r="C39" s="16">
        <f t="shared" si="0"/>
        <v>0</v>
      </c>
      <c r="D39" s="16">
        <v>0</v>
      </c>
      <c r="E39" s="16">
        <v>0</v>
      </c>
      <c r="F39" s="16">
        <v>0</v>
      </c>
      <c r="G39" s="16">
        <f t="shared" si="1"/>
        <v>0</v>
      </c>
      <c r="H39" s="16">
        <v>0</v>
      </c>
      <c r="I39" s="16">
        <v>0</v>
      </c>
      <c r="J39" s="16">
        <v>0</v>
      </c>
      <c r="K39" s="16">
        <v>0</v>
      </c>
    </row>
    <row r="40" spans="1:11" ht="36" x14ac:dyDescent="0.15">
      <c r="A40" s="15" t="s">
        <v>653</v>
      </c>
      <c r="B40" s="14" t="s">
        <v>313</v>
      </c>
      <c r="C40" s="16">
        <f t="shared" si="0"/>
        <v>0</v>
      </c>
      <c r="D40" s="16">
        <v>0</v>
      </c>
      <c r="E40" s="16">
        <v>0</v>
      </c>
      <c r="F40" s="16">
        <v>0</v>
      </c>
      <c r="G40" s="16">
        <f t="shared" si="1"/>
        <v>0</v>
      </c>
      <c r="H40" s="16">
        <v>0</v>
      </c>
      <c r="I40" s="16">
        <v>0</v>
      </c>
      <c r="J40" s="16">
        <v>0</v>
      </c>
      <c r="K40" s="16">
        <v>0</v>
      </c>
    </row>
    <row r="41" spans="1:11" x14ac:dyDescent="0.15">
      <c r="A41" s="15" t="s">
        <v>654</v>
      </c>
      <c r="B41" s="14" t="s">
        <v>315</v>
      </c>
      <c r="C41" s="16">
        <f t="shared" si="0"/>
        <v>0</v>
      </c>
      <c r="D41" s="16">
        <v>0</v>
      </c>
      <c r="E41" s="16">
        <v>0</v>
      </c>
      <c r="F41" s="16">
        <v>0</v>
      </c>
      <c r="G41" s="16">
        <f t="shared" si="1"/>
        <v>0</v>
      </c>
      <c r="H41" s="16">
        <v>0</v>
      </c>
      <c r="I41" s="16">
        <v>0</v>
      </c>
      <c r="J41" s="16">
        <v>0</v>
      </c>
      <c r="K41" s="16">
        <v>0</v>
      </c>
    </row>
    <row r="42" spans="1:11" x14ac:dyDescent="0.15">
      <c r="A42" s="15" t="s">
        <v>655</v>
      </c>
      <c r="B42" s="14" t="s">
        <v>317</v>
      </c>
      <c r="C42" s="16">
        <f t="shared" si="0"/>
        <v>0</v>
      </c>
      <c r="D42" s="16">
        <v>0</v>
      </c>
      <c r="E42" s="16">
        <v>0</v>
      </c>
      <c r="F42" s="16">
        <v>0</v>
      </c>
      <c r="G42" s="16">
        <f t="shared" si="1"/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x14ac:dyDescent="0.15">
      <c r="A43" s="15" t="s">
        <v>656</v>
      </c>
      <c r="B43" s="14" t="s">
        <v>657</v>
      </c>
      <c r="C43" s="16">
        <f t="shared" si="0"/>
        <v>0</v>
      </c>
      <c r="D43" s="16">
        <v>0</v>
      </c>
      <c r="E43" s="16">
        <v>0</v>
      </c>
      <c r="F43" s="16">
        <v>0</v>
      </c>
      <c r="G43" s="16">
        <f t="shared" si="1"/>
        <v>0</v>
      </c>
      <c r="H43" s="16">
        <v>0</v>
      </c>
      <c r="I43" s="16">
        <v>0</v>
      </c>
      <c r="J43" s="16">
        <v>0</v>
      </c>
      <c r="K43" s="16">
        <v>0</v>
      </c>
    </row>
    <row r="44" spans="1:11" x14ac:dyDescent="0.15">
      <c r="A44" s="15" t="s">
        <v>658</v>
      </c>
      <c r="B44" s="14" t="s">
        <v>659</v>
      </c>
      <c r="C44" s="16">
        <f t="shared" si="0"/>
        <v>0</v>
      </c>
      <c r="D44" s="16">
        <v>0</v>
      </c>
      <c r="E44" s="16">
        <v>0</v>
      </c>
      <c r="F44" s="16">
        <v>0</v>
      </c>
      <c r="G44" s="16">
        <f t="shared" si="1"/>
        <v>0</v>
      </c>
      <c r="H44" s="16">
        <v>0</v>
      </c>
      <c r="I44" s="16">
        <v>0</v>
      </c>
      <c r="J44" s="16">
        <v>0</v>
      </c>
      <c r="K44" s="16">
        <v>0</v>
      </c>
    </row>
    <row r="45" spans="1:11" x14ac:dyDescent="0.15">
      <c r="A45" s="15" t="s">
        <v>660</v>
      </c>
      <c r="B45" s="14" t="s">
        <v>661</v>
      </c>
      <c r="C45" s="16">
        <f t="shared" si="0"/>
        <v>0</v>
      </c>
      <c r="D45" s="16">
        <v>0</v>
      </c>
      <c r="E45" s="16">
        <v>0</v>
      </c>
      <c r="F45" s="16">
        <v>0</v>
      </c>
      <c r="G45" s="16">
        <f t="shared" si="1"/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ht="36" x14ac:dyDescent="0.15">
      <c r="A46" s="15" t="s">
        <v>662</v>
      </c>
      <c r="B46" s="14" t="s">
        <v>663</v>
      </c>
      <c r="C46" s="16">
        <f t="shared" si="0"/>
        <v>0</v>
      </c>
      <c r="D46" s="16">
        <v>0</v>
      </c>
      <c r="E46" s="16">
        <v>0</v>
      </c>
      <c r="F46" s="16">
        <v>0</v>
      </c>
      <c r="G46" s="16">
        <f t="shared" si="1"/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ht="36" x14ac:dyDescent="0.15">
      <c r="A47" s="15" t="s">
        <v>664</v>
      </c>
      <c r="B47" s="14" t="s">
        <v>665</v>
      </c>
      <c r="C47" s="16">
        <f t="shared" si="0"/>
        <v>0</v>
      </c>
      <c r="D47" s="16">
        <v>0</v>
      </c>
      <c r="E47" s="16">
        <v>0</v>
      </c>
      <c r="F47" s="16">
        <v>0</v>
      </c>
      <c r="G47" s="16">
        <f t="shared" si="1"/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x14ac:dyDescent="0.15">
      <c r="A48" s="17" t="s">
        <v>132</v>
      </c>
      <c r="B48" s="18" t="s">
        <v>133</v>
      </c>
      <c r="C48" s="19">
        <f>VLOOKUP("1000",B:U,2,0) + VLOOKUP("2000",B:U,2,0) + VLOOKUP("3000",B:U,2,0)</f>
        <v>0</v>
      </c>
      <c r="D48" s="19">
        <f>VLOOKUP("1000",B:U,3,0) + VLOOKUP("2000",B:U,3,0) + VLOOKUP("3000",B:U,3,0)</f>
        <v>0</v>
      </c>
      <c r="E48" s="19">
        <f>VLOOKUP("1000",B:U,4,0) + VLOOKUP("2000",B:U,4,0) + VLOOKUP("3000",B:U,4,0)</f>
        <v>0</v>
      </c>
      <c r="F48" s="19">
        <f>VLOOKUP("1000",B:U,5,0) + VLOOKUP("2000",B:U,5,0) + VLOOKUP("3000",B:U,5,0)</f>
        <v>0</v>
      </c>
      <c r="G48" s="19">
        <f>VLOOKUP("1000",B:U,6,0) + VLOOKUP("2000",B:U,6,0) + VLOOKUP("3000",B:U,6,0)</f>
        <v>0</v>
      </c>
      <c r="H48" s="19">
        <f>VLOOKUP("1000",B:U,7,0) + VLOOKUP("2000",B:U,7,0) + VLOOKUP("3000",B:U,7,0)</f>
        <v>0</v>
      </c>
      <c r="I48" s="19">
        <f>VLOOKUP("1000",B:U,8,0) + VLOOKUP("2000",B:U,8,0) + VLOOKUP("3000",B:U,8,0)</f>
        <v>0</v>
      </c>
      <c r="J48" s="19">
        <f>VLOOKUP("1000",B:U,9,0) + VLOOKUP("2000",B:U,9,0) + VLOOKUP("3000",B:U,9,0)</f>
        <v>0</v>
      </c>
      <c r="K48" s="19">
        <f>VLOOKUP("1000",B:U,10,0) + VLOOKUP("2000",B:U,10,0) + VLOOKUP("3000",B:U,10,0)</f>
        <v>0</v>
      </c>
    </row>
  </sheetData>
  <mergeCells count="9">
    <mergeCell ref="A1:K1"/>
    <mergeCell ref="A2:A5"/>
    <mergeCell ref="B2:B5"/>
    <mergeCell ref="C2:F2"/>
    <mergeCell ref="G2:K2"/>
    <mergeCell ref="C3:C4"/>
    <mergeCell ref="D3:F3"/>
    <mergeCell ref="G3:G4"/>
    <mergeCell ref="H3:K3"/>
  </mergeCells>
  <phoneticPr fontId="0" type="noConversion"/>
  <pageMargins left="0.4" right="0.4" top="0.4" bottom="0.4" header="0.1" footer="0.1"/>
  <pageSetup paperSize="9" scale="48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Z50"/>
  <sheetViews>
    <sheetView topLeftCell="A34" zoomScale="80" zoomScaleNormal="80" workbookViewId="0">
      <selection activeCell="H1" sqref="A1:XFD1048576"/>
    </sheetView>
  </sheetViews>
  <sheetFormatPr defaultRowHeight="19.5" x14ac:dyDescent="0.15"/>
  <cols>
    <col min="1" max="1" width="66.85546875" style="29" customWidth="1"/>
    <col min="2" max="26" width="17.140625" style="29" customWidth="1"/>
    <col min="27" max="16384" width="9.140625" style="29"/>
  </cols>
  <sheetData>
    <row r="1" spans="1:26" x14ac:dyDescent="0.15">
      <c r="A1" s="114" t="s">
        <v>670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x14ac:dyDescent="0.15">
      <c r="A2" s="110" t="s">
        <v>53</v>
      </c>
      <c r="B2" s="110" t="s">
        <v>54</v>
      </c>
      <c r="C2" s="110" t="s">
        <v>671</v>
      </c>
      <c r="D2" s="110"/>
      <c r="E2" s="110"/>
      <c r="F2" s="110"/>
      <c r="G2" s="110"/>
      <c r="H2" s="110"/>
      <c r="I2" s="110"/>
      <c r="J2" s="110"/>
      <c r="K2" s="110" t="s">
        <v>672</v>
      </c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</row>
    <row r="3" spans="1:26" x14ac:dyDescent="0.15">
      <c r="A3" s="110"/>
      <c r="B3" s="110"/>
      <c r="C3" s="110"/>
      <c r="D3" s="128"/>
      <c r="E3" s="128"/>
      <c r="F3" s="128"/>
      <c r="G3" s="128"/>
      <c r="H3" s="128"/>
      <c r="I3" s="128"/>
      <c r="J3" s="128"/>
      <c r="K3" s="110" t="s">
        <v>673</v>
      </c>
      <c r="L3" s="110"/>
      <c r="M3" s="110"/>
      <c r="N3" s="110"/>
      <c r="O3" s="110"/>
      <c r="P3" s="110"/>
      <c r="Q3" s="110"/>
      <c r="R3" s="110"/>
      <c r="S3" s="110" t="s">
        <v>674</v>
      </c>
      <c r="T3" s="110"/>
      <c r="U3" s="110"/>
      <c r="V3" s="110"/>
      <c r="W3" s="110"/>
      <c r="X3" s="110"/>
      <c r="Y3" s="110"/>
      <c r="Z3" s="110"/>
    </row>
    <row r="4" spans="1:26" x14ac:dyDescent="0.15">
      <c r="A4" s="110"/>
      <c r="B4" s="110"/>
      <c r="C4" s="110" t="s">
        <v>216</v>
      </c>
      <c r="D4" s="110"/>
      <c r="E4" s="110" t="s">
        <v>295</v>
      </c>
      <c r="F4" s="110"/>
      <c r="G4" s="110"/>
      <c r="H4" s="110"/>
      <c r="I4" s="110"/>
      <c r="J4" s="110"/>
      <c r="K4" s="110" t="s">
        <v>216</v>
      </c>
      <c r="L4" s="110"/>
      <c r="M4" s="110" t="s">
        <v>295</v>
      </c>
      <c r="N4" s="110"/>
      <c r="O4" s="110"/>
      <c r="P4" s="110"/>
      <c r="Q4" s="110"/>
      <c r="R4" s="110"/>
      <c r="S4" s="110" t="s">
        <v>216</v>
      </c>
      <c r="T4" s="110"/>
      <c r="U4" s="110" t="s">
        <v>295</v>
      </c>
      <c r="V4" s="110"/>
      <c r="W4" s="110"/>
      <c r="X4" s="110"/>
      <c r="Y4" s="110"/>
      <c r="Z4" s="110"/>
    </row>
    <row r="5" spans="1:26" x14ac:dyDescent="0.15">
      <c r="A5" s="110"/>
      <c r="B5" s="110"/>
      <c r="C5" s="110"/>
      <c r="D5" s="128"/>
      <c r="E5" s="110" t="s">
        <v>675</v>
      </c>
      <c r="F5" s="110"/>
      <c r="G5" s="110" t="s">
        <v>676</v>
      </c>
      <c r="H5" s="110"/>
      <c r="I5" s="110" t="s">
        <v>677</v>
      </c>
      <c r="J5" s="110"/>
      <c r="K5" s="110"/>
      <c r="L5" s="128"/>
      <c r="M5" s="110" t="s">
        <v>675</v>
      </c>
      <c r="N5" s="110"/>
      <c r="O5" s="110" t="s">
        <v>676</v>
      </c>
      <c r="P5" s="110"/>
      <c r="Q5" s="110" t="s">
        <v>677</v>
      </c>
      <c r="R5" s="110"/>
      <c r="S5" s="110"/>
      <c r="T5" s="128"/>
      <c r="U5" s="110" t="s">
        <v>675</v>
      </c>
      <c r="V5" s="110"/>
      <c r="W5" s="110" t="s">
        <v>676</v>
      </c>
      <c r="X5" s="110"/>
      <c r="Y5" s="110" t="s">
        <v>677</v>
      </c>
      <c r="Z5" s="110"/>
    </row>
    <row r="6" spans="1:26" ht="58.5" x14ac:dyDescent="0.15">
      <c r="A6" s="110"/>
      <c r="B6" s="110"/>
      <c r="C6" s="26" t="s">
        <v>598</v>
      </c>
      <c r="D6" s="26" t="s">
        <v>599</v>
      </c>
      <c r="E6" s="26" t="s">
        <v>598</v>
      </c>
      <c r="F6" s="26" t="s">
        <v>599</v>
      </c>
      <c r="G6" s="26" t="s">
        <v>598</v>
      </c>
      <c r="H6" s="26" t="s">
        <v>599</v>
      </c>
      <c r="I6" s="26" t="s">
        <v>598</v>
      </c>
      <c r="J6" s="26" t="s">
        <v>599</v>
      </c>
      <c r="K6" s="26" t="s">
        <v>598</v>
      </c>
      <c r="L6" s="26" t="s">
        <v>599</v>
      </c>
      <c r="M6" s="26" t="s">
        <v>598</v>
      </c>
      <c r="N6" s="26" t="s">
        <v>599</v>
      </c>
      <c r="O6" s="26" t="s">
        <v>598</v>
      </c>
      <c r="P6" s="26" t="s">
        <v>599</v>
      </c>
      <c r="Q6" s="26" t="s">
        <v>598</v>
      </c>
      <c r="R6" s="26" t="s">
        <v>599</v>
      </c>
      <c r="S6" s="26" t="s">
        <v>598</v>
      </c>
      <c r="T6" s="26" t="s">
        <v>599</v>
      </c>
      <c r="U6" s="26" t="s">
        <v>598</v>
      </c>
      <c r="V6" s="26" t="s">
        <v>599</v>
      </c>
      <c r="W6" s="26" t="s">
        <v>598</v>
      </c>
      <c r="X6" s="26" t="s">
        <v>599</v>
      </c>
      <c r="Y6" s="26" t="s">
        <v>598</v>
      </c>
      <c r="Z6" s="26" t="s">
        <v>599</v>
      </c>
    </row>
    <row r="7" spans="1:26" x14ac:dyDescent="0.15">
      <c r="A7" s="26" t="s">
        <v>60</v>
      </c>
      <c r="B7" s="26" t="s">
        <v>61</v>
      </c>
      <c r="C7" s="26" t="s">
        <v>62</v>
      </c>
      <c r="D7" s="26" t="s">
        <v>63</v>
      </c>
      <c r="E7" s="26" t="s">
        <v>64</v>
      </c>
      <c r="F7" s="26" t="s">
        <v>65</v>
      </c>
      <c r="G7" s="26" t="s">
        <v>151</v>
      </c>
      <c r="H7" s="26" t="s">
        <v>152</v>
      </c>
      <c r="I7" s="26" t="s">
        <v>153</v>
      </c>
      <c r="J7" s="26" t="s">
        <v>154</v>
      </c>
      <c r="K7" s="26" t="s">
        <v>155</v>
      </c>
      <c r="L7" s="26" t="s">
        <v>156</v>
      </c>
      <c r="M7" s="26" t="s">
        <v>157</v>
      </c>
      <c r="N7" s="26" t="s">
        <v>158</v>
      </c>
      <c r="O7" s="26" t="s">
        <v>159</v>
      </c>
      <c r="P7" s="26" t="s">
        <v>160</v>
      </c>
      <c r="Q7" s="26" t="s">
        <v>161</v>
      </c>
      <c r="R7" s="26" t="s">
        <v>162</v>
      </c>
      <c r="S7" s="26" t="s">
        <v>163</v>
      </c>
      <c r="T7" s="26" t="s">
        <v>164</v>
      </c>
      <c r="U7" s="26" t="s">
        <v>424</v>
      </c>
      <c r="V7" s="26" t="s">
        <v>425</v>
      </c>
      <c r="W7" s="26" t="s">
        <v>426</v>
      </c>
      <c r="X7" s="26" t="s">
        <v>427</v>
      </c>
      <c r="Y7" s="26" t="s">
        <v>428</v>
      </c>
      <c r="Z7" s="26" t="s">
        <v>429</v>
      </c>
    </row>
    <row r="8" spans="1:26" x14ac:dyDescent="0.15">
      <c r="A8" s="67" t="s">
        <v>600</v>
      </c>
      <c r="B8" s="68" t="s">
        <v>121</v>
      </c>
      <c r="C8" s="25">
        <f t="shared" ref="C8:C49" si="0">E8+G8+I8</f>
        <v>0</v>
      </c>
      <c r="D8" s="25">
        <f t="shared" ref="D8:D49" si="1">F8+H8+J8</f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f t="shared" ref="K8:K49" si="2">M8+O8+Q8</f>
        <v>2</v>
      </c>
      <c r="L8" s="25">
        <f t="shared" ref="L8:L49" si="3">N8+P8+R8</f>
        <v>2</v>
      </c>
      <c r="M8" s="25">
        <v>2</v>
      </c>
      <c r="N8" s="25">
        <v>2</v>
      </c>
      <c r="O8" s="25">
        <v>0</v>
      </c>
      <c r="P8" s="25">
        <v>0</v>
      </c>
      <c r="Q8" s="25">
        <v>0</v>
      </c>
      <c r="R8" s="25">
        <v>0</v>
      </c>
      <c r="S8" s="25">
        <f t="shared" ref="S8:S49" si="4">U8+W8+Y8</f>
        <v>0</v>
      </c>
      <c r="T8" s="25">
        <f t="shared" ref="T8:T49" si="5">V8+X8+Z8</f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</row>
    <row r="9" spans="1:26" ht="58.5" x14ac:dyDescent="0.15">
      <c r="A9" s="28" t="s">
        <v>601</v>
      </c>
      <c r="B9" s="26" t="s">
        <v>123</v>
      </c>
      <c r="C9" s="27">
        <f t="shared" si="0"/>
        <v>0</v>
      </c>
      <c r="D9" s="27">
        <f t="shared" si="1"/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f t="shared" si="2"/>
        <v>1</v>
      </c>
      <c r="L9" s="27">
        <f t="shared" si="3"/>
        <v>1</v>
      </c>
      <c r="M9" s="27">
        <v>1</v>
      </c>
      <c r="N9" s="27">
        <v>1</v>
      </c>
      <c r="O9" s="27">
        <v>0</v>
      </c>
      <c r="P9" s="27">
        <v>0</v>
      </c>
      <c r="Q9" s="27">
        <v>0</v>
      </c>
      <c r="R9" s="27">
        <v>0</v>
      </c>
      <c r="S9" s="27">
        <f t="shared" si="4"/>
        <v>0</v>
      </c>
      <c r="T9" s="27">
        <f t="shared" si="5"/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</row>
    <row r="10" spans="1:26" ht="58.5" x14ac:dyDescent="0.15">
      <c r="A10" s="28" t="s">
        <v>602</v>
      </c>
      <c r="B10" s="26" t="s">
        <v>603</v>
      </c>
      <c r="C10" s="27">
        <f t="shared" si="0"/>
        <v>0</v>
      </c>
      <c r="D10" s="27">
        <f t="shared" si="1"/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f t="shared" si="2"/>
        <v>1</v>
      </c>
      <c r="L10" s="27">
        <f t="shared" si="3"/>
        <v>1</v>
      </c>
      <c r="M10" s="27">
        <v>1</v>
      </c>
      <c r="N10" s="27">
        <v>1</v>
      </c>
      <c r="O10" s="27">
        <v>0</v>
      </c>
      <c r="P10" s="27">
        <v>0</v>
      </c>
      <c r="Q10" s="27">
        <v>0</v>
      </c>
      <c r="R10" s="27">
        <v>0</v>
      </c>
      <c r="S10" s="27">
        <f t="shared" si="4"/>
        <v>0</v>
      </c>
      <c r="T10" s="27">
        <f t="shared" si="5"/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</row>
    <row r="11" spans="1:26" ht="58.5" x14ac:dyDescent="0.15">
      <c r="A11" s="28" t="s">
        <v>604</v>
      </c>
      <c r="B11" s="26" t="s">
        <v>605</v>
      </c>
      <c r="C11" s="27">
        <f t="shared" si="0"/>
        <v>0</v>
      </c>
      <c r="D11" s="27">
        <f t="shared" si="1"/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f t="shared" si="2"/>
        <v>0</v>
      </c>
      <c r="L11" s="27">
        <f t="shared" si="3"/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f t="shared" si="4"/>
        <v>0</v>
      </c>
      <c r="T11" s="27">
        <f t="shared" si="5"/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</row>
    <row r="12" spans="1:26" ht="58.5" x14ac:dyDescent="0.15">
      <c r="A12" s="28" t="s">
        <v>606</v>
      </c>
      <c r="B12" s="26" t="s">
        <v>607</v>
      </c>
      <c r="C12" s="27">
        <f t="shared" si="0"/>
        <v>0</v>
      </c>
      <c r="D12" s="27">
        <f t="shared" si="1"/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f t="shared" si="2"/>
        <v>0</v>
      </c>
      <c r="L12" s="27">
        <f t="shared" si="3"/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f t="shared" si="4"/>
        <v>0</v>
      </c>
      <c r="T12" s="27">
        <f t="shared" si="5"/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</row>
    <row r="13" spans="1:26" ht="58.5" x14ac:dyDescent="0.15">
      <c r="A13" s="28" t="s">
        <v>608</v>
      </c>
      <c r="B13" s="26" t="s">
        <v>609</v>
      </c>
      <c r="C13" s="27">
        <f t="shared" si="0"/>
        <v>0</v>
      </c>
      <c r="D13" s="27">
        <f t="shared" si="1"/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f t="shared" si="2"/>
        <v>0</v>
      </c>
      <c r="L13" s="27">
        <f t="shared" si="3"/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f t="shared" si="4"/>
        <v>0</v>
      </c>
      <c r="T13" s="27">
        <f t="shared" si="5"/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</row>
    <row r="14" spans="1:26" ht="58.5" x14ac:dyDescent="0.15">
      <c r="A14" s="28" t="s">
        <v>610</v>
      </c>
      <c r="B14" s="26" t="s">
        <v>611</v>
      </c>
      <c r="C14" s="27">
        <f t="shared" si="0"/>
        <v>0</v>
      </c>
      <c r="D14" s="27">
        <f t="shared" si="1"/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f t="shared" si="2"/>
        <v>0</v>
      </c>
      <c r="L14" s="27">
        <f t="shared" si="3"/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f t="shared" si="4"/>
        <v>0</v>
      </c>
      <c r="T14" s="27">
        <f t="shared" si="5"/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</row>
    <row r="15" spans="1:26" ht="58.5" x14ac:dyDescent="0.15">
      <c r="A15" s="28" t="s">
        <v>612</v>
      </c>
      <c r="B15" s="26" t="s">
        <v>613</v>
      </c>
      <c r="C15" s="27">
        <f t="shared" si="0"/>
        <v>0</v>
      </c>
      <c r="D15" s="27">
        <f t="shared" si="1"/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f t="shared" si="2"/>
        <v>0</v>
      </c>
      <c r="L15" s="27">
        <f t="shared" si="3"/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f t="shared" si="4"/>
        <v>0</v>
      </c>
      <c r="T15" s="27">
        <f t="shared" si="5"/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</row>
    <row r="16" spans="1:26" ht="39" x14ac:dyDescent="0.15">
      <c r="A16" s="28" t="s">
        <v>614</v>
      </c>
      <c r="B16" s="26" t="s">
        <v>615</v>
      </c>
      <c r="C16" s="27">
        <f t="shared" si="0"/>
        <v>0</v>
      </c>
      <c r="D16" s="27">
        <f t="shared" si="1"/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f t="shared" si="2"/>
        <v>0</v>
      </c>
      <c r="L16" s="27">
        <f t="shared" si="3"/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f t="shared" si="4"/>
        <v>0</v>
      </c>
      <c r="T16" s="27">
        <f t="shared" si="5"/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</row>
    <row r="17" spans="1:26" x14ac:dyDescent="0.15">
      <c r="A17" s="28" t="s">
        <v>616</v>
      </c>
      <c r="B17" s="26" t="s">
        <v>617</v>
      </c>
      <c r="C17" s="27">
        <f t="shared" si="0"/>
        <v>0</v>
      </c>
      <c r="D17" s="27">
        <f t="shared" si="1"/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f t="shared" si="2"/>
        <v>0</v>
      </c>
      <c r="L17" s="27">
        <f t="shared" si="3"/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f t="shared" si="4"/>
        <v>0</v>
      </c>
      <c r="T17" s="27">
        <f t="shared" si="5"/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</row>
    <row r="18" spans="1:26" ht="39" x14ac:dyDescent="0.15">
      <c r="A18" s="28" t="s">
        <v>618</v>
      </c>
      <c r="B18" s="26" t="s">
        <v>125</v>
      </c>
      <c r="C18" s="27">
        <f t="shared" si="0"/>
        <v>0</v>
      </c>
      <c r="D18" s="27">
        <f t="shared" si="1"/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f t="shared" si="2"/>
        <v>0</v>
      </c>
      <c r="L18" s="27">
        <f t="shared" si="3"/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f t="shared" si="4"/>
        <v>0</v>
      </c>
      <c r="T18" s="27">
        <f t="shared" si="5"/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</row>
    <row r="19" spans="1:26" ht="39" x14ac:dyDescent="0.15">
      <c r="A19" s="28" t="s">
        <v>619</v>
      </c>
      <c r="B19" s="26" t="s">
        <v>127</v>
      </c>
      <c r="C19" s="27">
        <f t="shared" si="0"/>
        <v>0</v>
      </c>
      <c r="D19" s="27">
        <f t="shared" si="1"/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f t="shared" si="2"/>
        <v>0</v>
      </c>
      <c r="L19" s="27">
        <f t="shared" si="3"/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f t="shared" si="4"/>
        <v>0</v>
      </c>
      <c r="T19" s="27">
        <f t="shared" si="5"/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</row>
    <row r="20" spans="1:26" x14ac:dyDescent="0.15">
      <c r="A20" s="28" t="s">
        <v>620</v>
      </c>
      <c r="B20" s="26" t="s">
        <v>232</v>
      </c>
      <c r="C20" s="27">
        <f t="shared" si="0"/>
        <v>0</v>
      </c>
      <c r="D20" s="27">
        <f t="shared" si="1"/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f t="shared" si="2"/>
        <v>0</v>
      </c>
      <c r="L20" s="27">
        <f t="shared" si="3"/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f t="shared" si="4"/>
        <v>0</v>
      </c>
      <c r="T20" s="27">
        <f t="shared" si="5"/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</row>
    <row r="21" spans="1:26" x14ac:dyDescent="0.15">
      <c r="A21" s="28" t="s">
        <v>621</v>
      </c>
      <c r="B21" s="26" t="s">
        <v>234</v>
      </c>
      <c r="C21" s="27">
        <f t="shared" si="0"/>
        <v>0</v>
      </c>
      <c r="D21" s="27">
        <f t="shared" si="1"/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f t="shared" si="2"/>
        <v>1</v>
      </c>
      <c r="L21" s="27">
        <f t="shared" si="3"/>
        <v>1</v>
      </c>
      <c r="M21" s="27">
        <v>1</v>
      </c>
      <c r="N21" s="27">
        <v>1</v>
      </c>
      <c r="O21" s="27">
        <v>0</v>
      </c>
      <c r="P21" s="27">
        <v>0</v>
      </c>
      <c r="Q21" s="27">
        <v>0</v>
      </c>
      <c r="R21" s="27">
        <v>0</v>
      </c>
      <c r="S21" s="27">
        <f t="shared" si="4"/>
        <v>0</v>
      </c>
      <c r="T21" s="27">
        <f t="shared" si="5"/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</row>
    <row r="22" spans="1:26" x14ac:dyDescent="0.15">
      <c r="A22" s="28" t="s">
        <v>622</v>
      </c>
      <c r="B22" s="26" t="s">
        <v>236</v>
      </c>
      <c r="C22" s="27">
        <f t="shared" si="0"/>
        <v>0</v>
      </c>
      <c r="D22" s="27">
        <f t="shared" si="1"/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f t="shared" si="2"/>
        <v>0</v>
      </c>
      <c r="L22" s="27">
        <f t="shared" si="3"/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f t="shared" si="4"/>
        <v>0</v>
      </c>
      <c r="T22" s="27">
        <f t="shared" si="5"/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</row>
    <row r="23" spans="1:26" x14ac:dyDescent="0.15">
      <c r="A23" s="28" t="s">
        <v>623</v>
      </c>
      <c r="B23" s="26" t="s">
        <v>238</v>
      </c>
      <c r="C23" s="27">
        <f t="shared" si="0"/>
        <v>0</v>
      </c>
      <c r="D23" s="27">
        <f t="shared" si="1"/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f t="shared" si="2"/>
        <v>0</v>
      </c>
      <c r="L23" s="27">
        <f t="shared" si="3"/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f t="shared" si="4"/>
        <v>0</v>
      </c>
      <c r="T23" s="27">
        <f t="shared" si="5"/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</row>
    <row r="24" spans="1:26" ht="58.5" x14ac:dyDescent="0.15">
      <c r="A24" s="28" t="s">
        <v>624</v>
      </c>
      <c r="B24" s="26" t="s">
        <v>240</v>
      </c>
      <c r="C24" s="27">
        <f t="shared" si="0"/>
        <v>0</v>
      </c>
      <c r="D24" s="27">
        <f t="shared" si="1"/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f t="shared" si="2"/>
        <v>0</v>
      </c>
      <c r="L24" s="27">
        <f t="shared" si="3"/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f t="shared" si="4"/>
        <v>0</v>
      </c>
      <c r="T24" s="27">
        <f t="shared" si="5"/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</row>
    <row r="25" spans="1:26" x14ac:dyDescent="0.15">
      <c r="A25" s="28" t="s">
        <v>625</v>
      </c>
      <c r="B25" s="26" t="s">
        <v>242</v>
      </c>
      <c r="C25" s="27">
        <f t="shared" si="0"/>
        <v>0</v>
      </c>
      <c r="D25" s="27">
        <f t="shared" si="1"/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f t="shared" si="2"/>
        <v>0</v>
      </c>
      <c r="L25" s="27">
        <f t="shared" si="3"/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f t="shared" si="4"/>
        <v>0</v>
      </c>
      <c r="T25" s="27">
        <f t="shared" si="5"/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</row>
    <row r="26" spans="1:26" x14ac:dyDescent="0.15">
      <c r="A26" s="67" t="s">
        <v>626</v>
      </c>
      <c r="B26" s="68" t="s">
        <v>244</v>
      </c>
      <c r="C26" s="25">
        <f t="shared" si="0"/>
        <v>0</v>
      </c>
      <c r="D26" s="25">
        <f t="shared" si="1"/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f t="shared" si="2"/>
        <v>0</v>
      </c>
      <c r="L26" s="25">
        <f t="shared" si="3"/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f t="shared" si="4"/>
        <v>0</v>
      </c>
      <c r="T26" s="25">
        <f t="shared" si="5"/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x14ac:dyDescent="0.15">
      <c r="A27" s="28" t="s">
        <v>627</v>
      </c>
      <c r="B27" s="26" t="s">
        <v>246</v>
      </c>
      <c r="C27" s="27">
        <f t="shared" si="0"/>
        <v>0</v>
      </c>
      <c r="D27" s="27">
        <f t="shared" si="1"/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f t="shared" si="2"/>
        <v>0</v>
      </c>
      <c r="L27" s="27">
        <f t="shared" si="3"/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f t="shared" si="4"/>
        <v>0</v>
      </c>
      <c r="T27" s="27">
        <f t="shared" si="5"/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</row>
    <row r="28" spans="1:26" x14ac:dyDescent="0.15">
      <c r="A28" s="28" t="s">
        <v>628</v>
      </c>
      <c r="B28" s="26" t="s">
        <v>629</v>
      </c>
      <c r="C28" s="27">
        <f t="shared" si="0"/>
        <v>0</v>
      </c>
      <c r="D28" s="27">
        <f t="shared" si="1"/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f t="shared" si="2"/>
        <v>0</v>
      </c>
      <c r="L28" s="27">
        <f t="shared" si="3"/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f t="shared" si="4"/>
        <v>0</v>
      </c>
      <c r="T28" s="27">
        <f t="shared" si="5"/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</row>
    <row r="29" spans="1:26" x14ac:dyDescent="0.15">
      <c r="A29" s="28" t="s">
        <v>630</v>
      </c>
      <c r="B29" s="26" t="s">
        <v>631</v>
      </c>
      <c r="C29" s="27">
        <f t="shared" si="0"/>
        <v>0</v>
      </c>
      <c r="D29" s="27">
        <f t="shared" si="1"/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f t="shared" si="2"/>
        <v>0</v>
      </c>
      <c r="L29" s="27">
        <f t="shared" si="3"/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f t="shared" si="4"/>
        <v>0</v>
      </c>
      <c r="T29" s="27">
        <f t="shared" si="5"/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</row>
    <row r="30" spans="1:26" x14ac:dyDescent="0.15">
      <c r="A30" s="28" t="s">
        <v>632</v>
      </c>
      <c r="B30" s="26" t="s">
        <v>633</v>
      </c>
      <c r="C30" s="27">
        <f t="shared" si="0"/>
        <v>0</v>
      </c>
      <c r="D30" s="27">
        <f t="shared" si="1"/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f t="shared" si="2"/>
        <v>0</v>
      </c>
      <c r="L30" s="27">
        <f t="shared" si="3"/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f t="shared" si="4"/>
        <v>0</v>
      </c>
      <c r="T30" s="27">
        <f t="shared" si="5"/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</row>
    <row r="31" spans="1:26" ht="39" x14ac:dyDescent="0.15">
      <c r="A31" s="28" t="s">
        <v>634</v>
      </c>
      <c r="B31" s="26" t="s">
        <v>635</v>
      </c>
      <c r="C31" s="27">
        <f t="shared" si="0"/>
        <v>0</v>
      </c>
      <c r="D31" s="27">
        <f t="shared" si="1"/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f t="shared" si="2"/>
        <v>0</v>
      </c>
      <c r="L31" s="27">
        <f t="shared" si="3"/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f t="shared" si="4"/>
        <v>0</v>
      </c>
      <c r="T31" s="27">
        <f t="shared" si="5"/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</row>
    <row r="32" spans="1:26" x14ac:dyDescent="0.15">
      <c r="A32" s="28" t="s">
        <v>636</v>
      </c>
      <c r="B32" s="26" t="s">
        <v>637</v>
      </c>
      <c r="C32" s="27">
        <f t="shared" si="0"/>
        <v>0</v>
      </c>
      <c r="D32" s="27">
        <f t="shared" si="1"/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f t="shared" si="2"/>
        <v>0</v>
      </c>
      <c r="L32" s="27">
        <f t="shared" si="3"/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f t="shared" si="4"/>
        <v>0</v>
      </c>
      <c r="T32" s="27">
        <f t="shared" si="5"/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</row>
    <row r="33" spans="1:26" x14ac:dyDescent="0.15">
      <c r="A33" s="28" t="s">
        <v>638</v>
      </c>
      <c r="B33" s="26" t="s">
        <v>248</v>
      </c>
      <c r="C33" s="27">
        <f t="shared" si="0"/>
        <v>0</v>
      </c>
      <c r="D33" s="27">
        <f t="shared" si="1"/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f t="shared" si="2"/>
        <v>0</v>
      </c>
      <c r="L33" s="27">
        <f t="shared" si="3"/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f t="shared" si="4"/>
        <v>0</v>
      </c>
      <c r="T33" s="27">
        <f t="shared" si="5"/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</row>
    <row r="34" spans="1:26" x14ac:dyDescent="0.15">
      <c r="A34" s="28" t="s">
        <v>639</v>
      </c>
      <c r="B34" s="26" t="s">
        <v>640</v>
      </c>
      <c r="C34" s="27">
        <f t="shared" si="0"/>
        <v>0</v>
      </c>
      <c r="D34" s="27">
        <f t="shared" si="1"/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f t="shared" si="2"/>
        <v>0</v>
      </c>
      <c r="L34" s="27">
        <f t="shared" si="3"/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f t="shared" si="4"/>
        <v>0</v>
      </c>
      <c r="T34" s="27">
        <f t="shared" si="5"/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</row>
    <row r="35" spans="1:26" x14ac:dyDescent="0.15">
      <c r="A35" s="28" t="s">
        <v>641</v>
      </c>
      <c r="B35" s="26" t="s">
        <v>642</v>
      </c>
      <c r="C35" s="27">
        <f t="shared" si="0"/>
        <v>0</v>
      </c>
      <c r="D35" s="27">
        <f t="shared" si="1"/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f t="shared" si="2"/>
        <v>0</v>
      </c>
      <c r="L35" s="27">
        <f t="shared" si="3"/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f t="shared" si="4"/>
        <v>0</v>
      </c>
      <c r="T35" s="27">
        <f t="shared" si="5"/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</row>
    <row r="36" spans="1:26" x14ac:dyDescent="0.15">
      <c r="A36" s="28" t="s">
        <v>643</v>
      </c>
      <c r="B36" s="26" t="s">
        <v>644</v>
      </c>
      <c r="C36" s="27">
        <f t="shared" si="0"/>
        <v>0</v>
      </c>
      <c r="D36" s="27">
        <f t="shared" si="1"/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f t="shared" si="2"/>
        <v>0</v>
      </c>
      <c r="L36" s="27">
        <f t="shared" si="3"/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f t="shared" si="4"/>
        <v>0</v>
      </c>
      <c r="T36" s="27">
        <f t="shared" si="5"/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</row>
    <row r="37" spans="1:26" ht="39" x14ac:dyDescent="0.15">
      <c r="A37" s="28" t="s">
        <v>645</v>
      </c>
      <c r="B37" s="26" t="s">
        <v>646</v>
      </c>
      <c r="C37" s="27">
        <f t="shared" si="0"/>
        <v>0</v>
      </c>
      <c r="D37" s="27">
        <f t="shared" si="1"/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f t="shared" si="2"/>
        <v>0</v>
      </c>
      <c r="L37" s="27">
        <f t="shared" si="3"/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f t="shared" si="4"/>
        <v>0</v>
      </c>
      <c r="T37" s="27">
        <f t="shared" si="5"/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</row>
    <row r="38" spans="1:26" x14ac:dyDescent="0.15">
      <c r="A38" s="28" t="s">
        <v>647</v>
      </c>
      <c r="B38" s="26" t="s">
        <v>648</v>
      </c>
      <c r="C38" s="27">
        <f t="shared" si="0"/>
        <v>0</v>
      </c>
      <c r="D38" s="27">
        <f t="shared" si="1"/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f t="shared" si="2"/>
        <v>0</v>
      </c>
      <c r="L38" s="27">
        <f t="shared" si="3"/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f t="shared" si="4"/>
        <v>0</v>
      </c>
      <c r="T38" s="27">
        <f t="shared" si="5"/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</row>
    <row r="39" spans="1:26" ht="39" x14ac:dyDescent="0.15">
      <c r="A39" s="28" t="s">
        <v>649</v>
      </c>
      <c r="B39" s="26" t="s">
        <v>650</v>
      </c>
      <c r="C39" s="27">
        <f t="shared" si="0"/>
        <v>0</v>
      </c>
      <c r="D39" s="27">
        <f t="shared" si="1"/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f t="shared" si="2"/>
        <v>0</v>
      </c>
      <c r="L39" s="27">
        <f t="shared" si="3"/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f t="shared" si="4"/>
        <v>0</v>
      </c>
      <c r="T39" s="27">
        <f t="shared" si="5"/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</row>
    <row r="40" spans="1:26" x14ac:dyDescent="0.15">
      <c r="A40" s="67" t="s">
        <v>651</v>
      </c>
      <c r="B40" s="68" t="s">
        <v>309</v>
      </c>
      <c r="C40" s="25">
        <f t="shared" si="0"/>
        <v>0</v>
      </c>
      <c r="D40" s="25">
        <f t="shared" si="1"/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f t="shared" si="2"/>
        <v>0</v>
      </c>
      <c r="L40" s="25">
        <f t="shared" si="3"/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f t="shared" si="4"/>
        <v>0</v>
      </c>
      <c r="T40" s="25">
        <f t="shared" si="5"/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</row>
    <row r="41" spans="1:26" x14ac:dyDescent="0.15">
      <c r="A41" s="28" t="s">
        <v>652</v>
      </c>
      <c r="B41" s="26" t="s">
        <v>311</v>
      </c>
      <c r="C41" s="27">
        <f t="shared" si="0"/>
        <v>0</v>
      </c>
      <c r="D41" s="27">
        <f t="shared" si="1"/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f t="shared" si="2"/>
        <v>0</v>
      </c>
      <c r="L41" s="27">
        <f t="shared" si="3"/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f t="shared" si="4"/>
        <v>0</v>
      </c>
      <c r="T41" s="27">
        <f t="shared" si="5"/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</row>
    <row r="42" spans="1:26" ht="39" x14ac:dyDescent="0.15">
      <c r="A42" s="28" t="s">
        <v>653</v>
      </c>
      <c r="B42" s="26" t="s">
        <v>313</v>
      </c>
      <c r="C42" s="27">
        <f t="shared" si="0"/>
        <v>0</v>
      </c>
      <c r="D42" s="27">
        <f t="shared" si="1"/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f t="shared" si="2"/>
        <v>0</v>
      </c>
      <c r="L42" s="27">
        <f t="shared" si="3"/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f t="shared" si="4"/>
        <v>0</v>
      </c>
      <c r="T42" s="27">
        <f t="shared" si="5"/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</row>
    <row r="43" spans="1:26" x14ac:dyDescent="0.15">
      <c r="A43" s="28" t="s">
        <v>654</v>
      </c>
      <c r="B43" s="26" t="s">
        <v>315</v>
      </c>
      <c r="C43" s="27">
        <f t="shared" si="0"/>
        <v>0</v>
      </c>
      <c r="D43" s="27">
        <f t="shared" si="1"/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f t="shared" si="2"/>
        <v>0</v>
      </c>
      <c r="L43" s="27">
        <f t="shared" si="3"/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f t="shared" si="4"/>
        <v>0</v>
      </c>
      <c r="T43" s="27">
        <f t="shared" si="5"/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</row>
    <row r="44" spans="1:26" x14ac:dyDescent="0.15">
      <c r="A44" s="28" t="s">
        <v>655</v>
      </c>
      <c r="B44" s="26" t="s">
        <v>317</v>
      </c>
      <c r="C44" s="27">
        <f t="shared" si="0"/>
        <v>0</v>
      </c>
      <c r="D44" s="27">
        <f t="shared" si="1"/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f t="shared" si="2"/>
        <v>0</v>
      </c>
      <c r="L44" s="27">
        <f t="shared" si="3"/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f t="shared" si="4"/>
        <v>0</v>
      </c>
      <c r="T44" s="27">
        <f t="shared" si="5"/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</row>
    <row r="45" spans="1:26" x14ac:dyDescent="0.15">
      <c r="A45" s="28" t="s">
        <v>656</v>
      </c>
      <c r="B45" s="26" t="s">
        <v>657</v>
      </c>
      <c r="C45" s="27">
        <f t="shared" si="0"/>
        <v>0</v>
      </c>
      <c r="D45" s="27">
        <f t="shared" si="1"/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f t="shared" si="2"/>
        <v>0</v>
      </c>
      <c r="L45" s="27">
        <f t="shared" si="3"/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f t="shared" si="4"/>
        <v>0</v>
      </c>
      <c r="T45" s="27">
        <f t="shared" si="5"/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</row>
    <row r="46" spans="1:26" x14ac:dyDescent="0.15">
      <c r="A46" s="28" t="s">
        <v>658</v>
      </c>
      <c r="B46" s="26" t="s">
        <v>659</v>
      </c>
      <c r="C46" s="27">
        <f t="shared" si="0"/>
        <v>0</v>
      </c>
      <c r="D46" s="27">
        <f t="shared" si="1"/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f t="shared" si="2"/>
        <v>0</v>
      </c>
      <c r="L46" s="27">
        <f t="shared" si="3"/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f t="shared" si="4"/>
        <v>0</v>
      </c>
      <c r="T46" s="27">
        <f t="shared" si="5"/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</row>
    <row r="47" spans="1:26" x14ac:dyDescent="0.15">
      <c r="A47" s="28" t="s">
        <v>660</v>
      </c>
      <c r="B47" s="26" t="s">
        <v>661</v>
      </c>
      <c r="C47" s="27">
        <f t="shared" si="0"/>
        <v>0</v>
      </c>
      <c r="D47" s="27">
        <f t="shared" si="1"/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f t="shared" si="2"/>
        <v>0</v>
      </c>
      <c r="L47" s="27">
        <f t="shared" si="3"/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f t="shared" si="4"/>
        <v>0</v>
      </c>
      <c r="T47" s="27">
        <f t="shared" si="5"/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</row>
    <row r="48" spans="1:26" ht="39" x14ac:dyDescent="0.15">
      <c r="A48" s="28" t="s">
        <v>662</v>
      </c>
      <c r="B48" s="26" t="s">
        <v>663</v>
      </c>
      <c r="C48" s="27">
        <f t="shared" si="0"/>
        <v>0</v>
      </c>
      <c r="D48" s="27">
        <f t="shared" si="1"/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f t="shared" si="2"/>
        <v>0</v>
      </c>
      <c r="L48" s="27">
        <f t="shared" si="3"/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f t="shared" si="4"/>
        <v>0</v>
      </c>
      <c r="T48" s="27">
        <f t="shared" si="5"/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</row>
    <row r="49" spans="1:26" ht="39" x14ac:dyDescent="0.15">
      <c r="A49" s="28" t="s">
        <v>664</v>
      </c>
      <c r="B49" s="26" t="s">
        <v>665</v>
      </c>
      <c r="C49" s="27">
        <f t="shared" si="0"/>
        <v>0</v>
      </c>
      <c r="D49" s="27">
        <f t="shared" si="1"/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f t="shared" si="2"/>
        <v>0</v>
      </c>
      <c r="L49" s="27">
        <f t="shared" si="3"/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f t="shared" si="4"/>
        <v>0</v>
      </c>
      <c r="T49" s="27">
        <f t="shared" si="5"/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</row>
    <row r="50" spans="1:26" x14ac:dyDescent="0.15">
      <c r="A50" s="34" t="s">
        <v>132</v>
      </c>
      <c r="B50" s="68" t="s">
        <v>133</v>
      </c>
      <c r="C50" s="25">
        <f>VLOOKUP("1000",B:Z,2,0) + VLOOKUP("2000",B:Z,2,0) + VLOOKUP("3000",B:Z,2,0)</f>
        <v>0</v>
      </c>
      <c r="D50" s="25">
        <f>VLOOKUP("1000",B:Z,3,0) + VLOOKUP("2000",B:Z,3,0) + VLOOKUP("3000",B:Z,3,0)</f>
        <v>0</v>
      </c>
      <c r="E50" s="25">
        <f>VLOOKUP("1000",B:Z,4,0) + VLOOKUP("2000",B:Z,4,0) + VLOOKUP("3000",B:Z,4,0)</f>
        <v>0</v>
      </c>
      <c r="F50" s="25">
        <f>VLOOKUP("1000",B:Z,5,0) + VLOOKUP("2000",B:Z,5,0) + VLOOKUP("3000",B:Z,5,0)</f>
        <v>0</v>
      </c>
      <c r="G50" s="25">
        <f>VLOOKUP("1000",B:Z,6,0) + VLOOKUP("2000",B:Z,6,0) + VLOOKUP("3000",B:Z,6,0)</f>
        <v>0</v>
      </c>
      <c r="H50" s="25">
        <f>VLOOKUP("1000",B:Z,7,0) + VLOOKUP("2000",B:Z,7,0) + VLOOKUP("3000",B:Z,7,0)</f>
        <v>0</v>
      </c>
      <c r="I50" s="25">
        <f>VLOOKUP("1000",B:Z,8,0) + VLOOKUP("2000",B:Z,8,0) + VLOOKUP("3000",B:Z,8,0)</f>
        <v>0</v>
      </c>
      <c r="J50" s="25">
        <f>VLOOKUP("1000",B:Z,9,0) + VLOOKUP("2000",B:Z,9,0) + VLOOKUP("3000",B:Z,9,0)</f>
        <v>0</v>
      </c>
      <c r="K50" s="25">
        <f>VLOOKUP("1000",B:Z,10,0) + VLOOKUP("2000",B:Z,10,0) + VLOOKUP("3000",B:Z,10,0)</f>
        <v>2</v>
      </c>
      <c r="L50" s="25">
        <f>VLOOKUP("1000",B:Z,11,0) + VLOOKUP("2000",B:Z,11,0) + VLOOKUP("3000",B:Z,11,0)</f>
        <v>2</v>
      </c>
      <c r="M50" s="25">
        <f>VLOOKUP("1000",B:Z,12,0) + VLOOKUP("2000",B:Z,12,0) + VLOOKUP("3000",B:Z,12,0)</f>
        <v>2</v>
      </c>
      <c r="N50" s="25">
        <f>VLOOKUP("1000",B:Z,13,0) + VLOOKUP("2000",B:Z,13,0) + VLOOKUP("3000",B:Z,13,0)</f>
        <v>2</v>
      </c>
      <c r="O50" s="25">
        <f>VLOOKUP("1000",B:Z,14,0) + VLOOKUP("2000",B:Z,14,0) + VLOOKUP("3000",B:Z,14,0)</f>
        <v>0</v>
      </c>
      <c r="P50" s="25">
        <f>VLOOKUP("1000",B:Z,15,0) + VLOOKUP("2000",B:Z,15,0) + VLOOKUP("3000",B:Z,15,0)</f>
        <v>0</v>
      </c>
      <c r="Q50" s="25">
        <f>VLOOKUP("1000",B:Z,16,0) + VLOOKUP("2000",B:Z,16,0) + VLOOKUP("3000",B:Z,16,0)</f>
        <v>0</v>
      </c>
      <c r="R50" s="25">
        <f>VLOOKUP("1000",B:Z,17,0) + VLOOKUP("2000",B:Z,17,0) + VLOOKUP("3000",B:Z,17,0)</f>
        <v>0</v>
      </c>
      <c r="S50" s="25">
        <f>VLOOKUP("1000",B:Z,18,0) + VLOOKUP("2000",B:Z,18,0) + VLOOKUP("3000",B:Z,18,0)</f>
        <v>0</v>
      </c>
      <c r="T50" s="25">
        <f>VLOOKUP("1000",B:Z,19,0) + VLOOKUP("2000",B:Z,19,0) + VLOOKUP("3000",B:Z,19,0)</f>
        <v>0</v>
      </c>
      <c r="U50" s="25">
        <f>VLOOKUP("1000",B:Z,20,0) + VLOOKUP("2000",B:Z,20,0) + VLOOKUP("3000",B:Z,20,0)</f>
        <v>0</v>
      </c>
      <c r="V50" s="25">
        <f>VLOOKUP("1000",B:Z,21,0) + VLOOKUP("2000",B:Z,21,0) + VLOOKUP("3000",B:Z,21,0)</f>
        <v>0</v>
      </c>
      <c r="W50" s="25">
        <f>VLOOKUP("1000",B:Z,22,0) + VLOOKUP("2000",B:Z,22,0) + VLOOKUP("3000",B:Z,22,0)</f>
        <v>0</v>
      </c>
      <c r="X50" s="25">
        <f>VLOOKUP("1000",B:Z,23,0) + VLOOKUP("2000",B:Z,23,0) + VLOOKUP("3000",B:Z,23,0)</f>
        <v>0</v>
      </c>
      <c r="Y50" s="25">
        <f>VLOOKUP("1000",B:Z,24,0) + VLOOKUP("2000",B:Z,24,0) + VLOOKUP("3000",B:Z,24,0)</f>
        <v>0</v>
      </c>
      <c r="Z50" s="25">
        <f>VLOOKUP("1000",B:Z,25,0) + VLOOKUP("2000",B:Z,25,0) + VLOOKUP("3000",B:Z,25,0)</f>
        <v>0</v>
      </c>
    </row>
  </sheetData>
  <mergeCells count="22">
    <mergeCell ref="A1:Z1"/>
    <mergeCell ref="A2:A6"/>
    <mergeCell ref="B2:B6"/>
    <mergeCell ref="C2:J3"/>
    <mergeCell ref="K2:Z2"/>
    <mergeCell ref="K3:R3"/>
    <mergeCell ref="S3:Z3"/>
    <mergeCell ref="C4:D5"/>
    <mergeCell ref="E4:J4"/>
    <mergeCell ref="K4:L5"/>
    <mergeCell ref="M4:R4"/>
    <mergeCell ref="S4:T5"/>
    <mergeCell ref="U4:Z4"/>
    <mergeCell ref="E5:F5"/>
    <mergeCell ref="G5:H5"/>
    <mergeCell ref="I5:J5"/>
    <mergeCell ref="Y5:Z5"/>
    <mergeCell ref="M5:N5"/>
    <mergeCell ref="O5:P5"/>
    <mergeCell ref="Q5:R5"/>
    <mergeCell ref="U5:V5"/>
    <mergeCell ref="W5:X5"/>
  </mergeCells>
  <phoneticPr fontId="0" type="noConversion"/>
  <pageMargins left="0.4" right="0.4" top="0.4" bottom="0.4" header="0.1" footer="0.1"/>
  <pageSetup paperSize="9" scale="30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79998168889431442"/>
    <pageSetUpPr fitToPage="1"/>
  </sheetPr>
  <dimension ref="A1:O55"/>
  <sheetViews>
    <sheetView topLeftCell="C1" zoomScale="70" zoomScaleNormal="70" workbookViewId="0">
      <selection activeCell="D7" sqref="D7:O7"/>
    </sheetView>
  </sheetViews>
  <sheetFormatPr defaultRowHeight="10.5" x14ac:dyDescent="0.15"/>
  <cols>
    <col min="1" max="1" width="66.85546875" customWidth="1"/>
    <col min="2" max="2" width="17.140625" customWidth="1"/>
    <col min="3" max="6" width="20.42578125" customWidth="1"/>
    <col min="7" max="11" width="17.140625" customWidth="1"/>
    <col min="12" max="12" width="22.42578125" customWidth="1"/>
    <col min="13" max="13" width="15.140625" customWidth="1"/>
    <col min="14" max="14" width="15.42578125" customWidth="1"/>
    <col min="15" max="15" width="22.85546875" customWidth="1"/>
  </cols>
  <sheetData>
    <row r="1" spans="1:15" ht="50.1" customHeight="1" x14ac:dyDescent="0.15">
      <c r="A1" s="97" t="s">
        <v>678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30" customHeight="1" x14ac:dyDescent="0.15">
      <c r="A2" s="101" t="s">
        <v>53</v>
      </c>
      <c r="B2" s="101" t="s">
        <v>54</v>
      </c>
      <c r="C2" s="101" t="s">
        <v>679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ht="30" customHeight="1" x14ac:dyDescent="0.15">
      <c r="A3" s="101"/>
      <c r="B3" s="101"/>
      <c r="C3" s="101" t="s">
        <v>680</v>
      </c>
      <c r="D3" s="101" t="s">
        <v>295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ht="30" customHeight="1" x14ac:dyDescent="0.15">
      <c r="A4" s="101"/>
      <c r="B4" s="101"/>
      <c r="C4" s="101"/>
      <c r="D4" s="101" t="s">
        <v>681</v>
      </c>
      <c r="E4" s="101"/>
      <c r="F4" s="101"/>
      <c r="G4" s="101"/>
      <c r="H4" s="101"/>
      <c r="I4" s="101"/>
      <c r="J4" s="101" t="s">
        <v>682</v>
      </c>
      <c r="K4" s="101"/>
      <c r="L4" s="101" t="s">
        <v>586</v>
      </c>
      <c r="M4" s="101"/>
      <c r="N4" s="101"/>
      <c r="O4" s="101" t="s">
        <v>683</v>
      </c>
    </row>
    <row r="5" spans="1:15" ht="30" customHeight="1" x14ac:dyDescent="0.15">
      <c r="A5" s="101"/>
      <c r="B5" s="101"/>
      <c r="C5" s="101"/>
      <c r="D5" s="1" t="s">
        <v>684</v>
      </c>
      <c r="E5" s="1" t="s">
        <v>685</v>
      </c>
      <c r="F5" s="1" t="s">
        <v>686</v>
      </c>
      <c r="G5" s="1" t="s">
        <v>591</v>
      </c>
      <c r="H5" s="1" t="s">
        <v>687</v>
      </c>
      <c r="I5" s="1" t="s">
        <v>688</v>
      </c>
      <c r="J5" s="1" t="s">
        <v>689</v>
      </c>
      <c r="K5" s="1" t="s">
        <v>682</v>
      </c>
      <c r="L5" s="1" t="s">
        <v>690</v>
      </c>
      <c r="M5" s="1" t="s">
        <v>691</v>
      </c>
      <c r="N5" s="1" t="s">
        <v>692</v>
      </c>
      <c r="O5" s="101"/>
    </row>
    <row r="6" spans="1:15" ht="20.100000000000001" customHeight="1" x14ac:dyDescent="0.15">
      <c r="A6" s="1" t="s">
        <v>60</v>
      </c>
      <c r="B6" s="1" t="s">
        <v>61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151</v>
      </c>
      <c r="H6" s="1" t="s">
        <v>152</v>
      </c>
      <c r="I6" s="1" t="s">
        <v>153</v>
      </c>
      <c r="J6" s="1" t="s">
        <v>154</v>
      </c>
      <c r="K6" s="1" t="s">
        <v>155</v>
      </c>
      <c r="L6" s="1" t="s">
        <v>156</v>
      </c>
      <c r="M6" s="1" t="s">
        <v>157</v>
      </c>
      <c r="N6" s="1" t="s">
        <v>158</v>
      </c>
      <c r="O6" s="1" t="s">
        <v>159</v>
      </c>
    </row>
    <row r="7" spans="1:15" ht="30" customHeight="1" x14ac:dyDescent="0.15">
      <c r="A7" s="11" t="s">
        <v>600</v>
      </c>
      <c r="B7" s="12" t="s">
        <v>121</v>
      </c>
      <c r="C7" s="47">
        <f>SUM(D7:O7)</f>
        <v>662703.56000000006</v>
      </c>
      <c r="D7" s="47">
        <f>D8+D20</f>
        <v>59706</v>
      </c>
      <c r="E7" s="47">
        <v>40200</v>
      </c>
      <c r="F7" s="47">
        <v>7860.65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47">
        <v>546840</v>
      </c>
      <c r="M7" s="10">
        <v>0</v>
      </c>
      <c r="N7" s="10">
        <v>0</v>
      </c>
      <c r="O7" s="47">
        <v>8096.91</v>
      </c>
    </row>
    <row r="8" spans="1:15" ht="30" customHeight="1" x14ac:dyDescent="0.15">
      <c r="A8" s="2" t="s">
        <v>601</v>
      </c>
      <c r="B8" s="1" t="s">
        <v>123</v>
      </c>
      <c r="C8" s="48">
        <f t="shared" ref="C8:C48" si="0">SUM(D8:O8)</f>
        <v>586667.79</v>
      </c>
      <c r="D8" s="48">
        <v>59141.599999999999</v>
      </c>
      <c r="E8" s="48">
        <v>0</v>
      </c>
      <c r="F8" s="48">
        <v>5286.19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8">
        <v>520800</v>
      </c>
      <c r="M8" s="3">
        <v>0</v>
      </c>
      <c r="N8" s="3">
        <v>0</v>
      </c>
      <c r="O8" s="48">
        <v>1440</v>
      </c>
    </row>
    <row r="9" spans="1:15" ht="30" customHeight="1" x14ac:dyDescent="0.15">
      <c r="A9" s="2" t="s">
        <v>602</v>
      </c>
      <c r="B9" s="1" t="s">
        <v>603</v>
      </c>
      <c r="C9" s="48">
        <f t="shared" si="0"/>
        <v>586667.79</v>
      </c>
      <c r="D9" s="48">
        <v>59141.599999999999</v>
      </c>
      <c r="E9" s="48">
        <v>0</v>
      </c>
      <c r="F9" s="48">
        <v>5286.19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8">
        <v>520800</v>
      </c>
      <c r="M9" s="3">
        <v>0</v>
      </c>
      <c r="N9" s="3">
        <v>0</v>
      </c>
      <c r="O9" s="48">
        <v>1440</v>
      </c>
    </row>
    <row r="10" spans="1:15" ht="30" customHeight="1" x14ac:dyDescent="0.15">
      <c r="A10" s="2" t="s">
        <v>604</v>
      </c>
      <c r="B10" s="1" t="s">
        <v>605</v>
      </c>
      <c r="C10" s="3">
        <f t="shared" si="0"/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ht="30" customHeight="1" x14ac:dyDescent="0.15">
      <c r="A11" s="2" t="s">
        <v>606</v>
      </c>
      <c r="B11" s="1" t="s">
        <v>607</v>
      </c>
      <c r="C11" s="3">
        <f t="shared" si="0"/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t="30" customHeight="1" x14ac:dyDescent="0.15">
      <c r="A12" s="2" t="s">
        <v>608</v>
      </c>
      <c r="B12" s="1" t="s">
        <v>609</v>
      </c>
      <c r="C12" s="3">
        <f t="shared" si="0"/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 ht="30" customHeight="1" x14ac:dyDescent="0.15">
      <c r="A13" s="2" t="s">
        <v>610</v>
      </c>
      <c r="B13" s="1" t="s">
        <v>611</v>
      </c>
      <c r="C13" s="3">
        <f t="shared" si="0"/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ht="30" customHeight="1" x14ac:dyDescent="0.15">
      <c r="A14" s="2" t="s">
        <v>612</v>
      </c>
      <c r="B14" s="1" t="s">
        <v>613</v>
      </c>
      <c r="C14" s="3">
        <f t="shared" si="0"/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ht="30" customHeight="1" x14ac:dyDescent="0.15">
      <c r="A15" s="2" t="s">
        <v>614</v>
      </c>
      <c r="B15" s="1" t="s">
        <v>615</v>
      </c>
      <c r="C15" s="3">
        <f t="shared" si="0"/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ht="30" customHeight="1" x14ac:dyDescent="0.15">
      <c r="A16" s="2" t="s">
        <v>616</v>
      </c>
      <c r="B16" s="1" t="s">
        <v>617</v>
      </c>
      <c r="C16" s="3">
        <f t="shared" si="0"/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ht="30" customHeight="1" x14ac:dyDescent="0.15">
      <c r="A17" s="2" t="s">
        <v>618</v>
      </c>
      <c r="B17" s="1" t="s">
        <v>125</v>
      </c>
      <c r="C17" s="3">
        <f t="shared" si="0"/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30" customHeight="1" x14ac:dyDescent="0.15">
      <c r="A18" s="2" t="s">
        <v>619</v>
      </c>
      <c r="B18" s="1" t="s">
        <v>127</v>
      </c>
      <c r="C18" s="3">
        <f t="shared" si="0"/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ht="30" customHeight="1" x14ac:dyDescent="0.15">
      <c r="A19" s="2" t="s">
        <v>620</v>
      </c>
      <c r="B19" s="1" t="s">
        <v>232</v>
      </c>
      <c r="C19" s="3">
        <f t="shared" si="0"/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ht="30" customHeight="1" x14ac:dyDescent="0.15">
      <c r="A20" s="2" t="s">
        <v>621</v>
      </c>
      <c r="B20" s="1" t="s">
        <v>234</v>
      </c>
      <c r="C20" s="48">
        <f t="shared" si="0"/>
        <v>76035.77</v>
      </c>
      <c r="D20" s="48">
        <v>564.4</v>
      </c>
      <c r="E20" s="48">
        <v>40200</v>
      </c>
      <c r="F20" s="48">
        <v>2574.46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48">
        <v>26040</v>
      </c>
      <c r="M20" s="3">
        <v>0</v>
      </c>
      <c r="N20" s="3">
        <v>0</v>
      </c>
      <c r="O20" s="48">
        <v>6656.91</v>
      </c>
    </row>
    <row r="21" spans="1:15" ht="30" customHeight="1" x14ac:dyDescent="0.15">
      <c r="A21" s="2" t="s">
        <v>622</v>
      </c>
      <c r="B21" s="1" t="s">
        <v>236</v>
      </c>
      <c r="C21" s="3">
        <f t="shared" si="0"/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ht="30" customHeight="1" x14ac:dyDescent="0.15">
      <c r="A22" s="2" t="s">
        <v>623</v>
      </c>
      <c r="B22" s="1" t="s">
        <v>238</v>
      </c>
      <c r="C22" s="3">
        <f t="shared" si="0"/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ht="30" customHeight="1" x14ac:dyDescent="0.15">
      <c r="A23" s="2" t="s">
        <v>624</v>
      </c>
      <c r="B23" s="1" t="s">
        <v>240</v>
      </c>
      <c r="C23" s="3">
        <f t="shared" si="0"/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ht="30" customHeight="1" x14ac:dyDescent="0.15">
      <c r="A24" s="2" t="s">
        <v>625</v>
      </c>
      <c r="B24" s="1" t="s">
        <v>242</v>
      </c>
      <c r="C24" s="3">
        <f t="shared" si="0"/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ht="30" customHeight="1" x14ac:dyDescent="0.15">
      <c r="A25" s="11" t="s">
        <v>626</v>
      </c>
      <c r="B25" s="12" t="s">
        <v>244</v>
      </c>
      <c r="C25" s="10">
        <f t="shared" si="0"/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ht="30" customHeight="1" x14ac:dyDescent="0.15">
      <c r="A26" s="2" t="s">
        <v>627</v>
      </c>
      <c r="B26" s="1" t="s">
        <v>246</v>
      </c>
      <c r="C26" s="3">
        <f t="shared" si="0"/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ht="30" customHeight="1" x14ac:dyDescent="0.15">
      <c r="A27" s="2" t="s">
        <v>628</v>
      </c>
      <c r="B27" s="1" t="s">
        <v>629</v>
      </c>
      <c r="C27" s="3">
        <f t="shared" si="0"/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ht="30" customHeight="1" x14ac:dyDescent="0.15">
      <c r="A28" s="2" t="s">
        <v>630</v>
      </c>
      <c r="B28" s="1" t="s">
        <v>631</v>
      </c>
      <c r="C28" s="3">
        <f t="shared" si="0"/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ht="30" customHeight="1" x14ac:dyDescent="0.15">
      <c r="A29" s="2" t="s">
        <v>632</v>
      </c>
      <c r="B29" s="1" t="s">
        <v>633</v>
      </c>
      <c r="C29" s="3">
        <f t="shared" si="0"/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ht="30" customHeight="1" x14ac:dyDescent="0.15">
      <c r="A30" s="2" t="s">
        <v>634</v>
      </c>
      <c r="B30" s="1" t="s">
        <v>635</v>
      </c>
      <c r="C30" s="3">
        <f t="shared" si="0"/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ht="30" customHeight="1" x14ac:dyDescent="0.15">
      <c r="A31" s="2" t="s">
        <v>636</v>
      </c>
      <c r="B31" s="1" t="s">
        <v>637</v>
      </c>
      <c r="C31" s="3">
        <f t="shared" si="0"/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ht="30" customHeight="1" x14ac:dyDescent="0.15">
      <c r="A32" s="2" t="s">
        <v>638</v>
      </c>
      <c r="B32" s="1" t="s">
        <v>248</v>
      </c>
      <c r="C32" s="3">
        <f t="shared" si="0"/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ht="30" customHeight="1" x14ac:dyDescent="0.15">
      <c r="A33" s="2" t="s">
        <v>639</v>
      </c>
      <c r="B33" s="1" t="s">
        <v>640</v>
      </c>
      <c r="C33" s="3">
        <f t="shared" si="0"/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ht="30" customHeight="1" x14ac:dyDescent="0.15">
      <c r="A34" s="2" t="s">
        <v>641</v>
      </c>
      <c r="B34" s="1" t="s">
        <v>642</v>
      </c>
      <c r="C34" s="3">
        <f t="shared" si="0"/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ht="30" customHeight="1" x14ac:dyDescent="0.15">
      <c r="A35" s="2" t="s">
        <v>643</v>
      </c>
      <c r="B35" s="1" t="s">
        <v>644</v>
      </c>
      <c r="C35" s="3">
        <f t="shared" si="0"/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ht="30" customHeight="1" x14ac:dyDescent="0.15">
      <c r="A36" s="2" t="s">
        <v>645</v>
      </c>
      <c r="B36" s="1" t="s">
        <v>646</v>
      </c>
      <c r="C36" s="3">
        <f t="shared" si="0"/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ht="30" customHeight="1" x14ac:dyDescent="0.15">
      <c r="A37" s="2" t="s">
        <v>647</v>
      </c>
      <c r="B37" s="1" t="s">
        <v>648</v>
      </c>
      <c r="C37" s="3">
        <f t="shared" si="0"/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ht="30" customHeight="1" x14ac:dyDescent="0.15">
      <c r="A38" s="2" t="s">
        <v>649</v>
      </c>
      <c r="B38" s="1" t="s">
        <v>650</v>
      </c>
      <c r="C38" s="3">
        <f t="shared" si="0"/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ht="30" customHeight="1" x14ac:dyDescent="0.15">
      <c r="A39" s="11" t="s">
        <v>651</v>
      </c>
      <c r="B39" s="12" t="s">
        <v>309</v>
      </c>
      <c r="C39" s="10">
        <f t="shared" si="0"/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</row>
    <row r="40" spans="1:15" ht="30" customHeight="1" x14ac:dyDescent="0.15">
      <c r="A40" s="2" t="s">
        <v>652</v>
      </c>
      <c r="B40" s="1" t="s">
        <v>311</v>
      </c>
      <c r="C40" s="3">
        <f t="shared" si="0"/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ht="30" customHeight="1" x14ac:dyDescent="0.15">
      <c r="A41" s="2" t="s">
        <v>653</v>
      </c>
      <c r="B41" s="1" t="s">
        <v>313</v>
      </c>
      <c r="C41" s="3">
        <f t="shared" si="0"/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ht="30" customHeight="1" x14ac:dyDescent="0.15">
      <c r="A42" s="2" t="s">
        <v>654</v>
      </c>
      <c r="B42" s="1" t="s">
        <v>315</v>
      </c>
      <c r="C42" s="3">
        <f t="shared" si="0"/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ht="30" customHeight="1" x14ac:dyDescent="0.15">
      <c r="A43" s="2" t="s">
        <v>655</v>
      </c>
      <c r="B43" s="1" t="s">
        <v>317</v>
      </c>
      <c r="C43" s="3">
        <f t="shared" si="0"/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ht="30" customHeight="1" x14ac:dyDescent="0.15">
      <c r="A44" s="2" t="s">
        <v>656</v>
      </c>
      <c r="B44" s="1" t="s">
        <v>657</v>
      </c>
      <c r="C44" s="3">
        <f t="shared" si="0"/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ht="30" customHeight="1" x14ac:dyDescent="0.15">
      <c r="A45" s="2" t="s">
        <v>658</v>
      </c>
      <c r="B45" s="1" t="s">
        <v>659</v>
      </c>
      <c r="C45" s="3">
        <f t="shared" si="0"/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ht="30" customHeight="1" x14ac:dyDescent="0.15">
      <c r="A46" s="2" t="s">
        <v>660</v>
      </c>
      <c r="B46" s="1" t="s">
        <v>661</v>
      </c>
      <c r="C46" s="3">
        <f t="shared" si="0"/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ht="30" customHeight="1" x14ac:dyDescent="0.15">
      <c r="A47" s="2" t="s">
        <v>662</v>
      </c>
      <c r="B47" s="1" t="s">
        <v>663</v>
      </c>
      <c r="C47" s="3">
        <f t="shared" si="0"/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ht="30" customHeight="1" x14ac:dyDescent="0.15">
      <c r="A48" s="2" t="s">
        <v>664</v>
      </c>
      <c r="B48" s="1" t="s">
        <v>665</v>
      </c>
      <c r="C48" s="3">
        <f t="shared" si="0"/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ht="20.100000000000001" customHeight="1" x14ac:dyDescent="0.15">
      <c r="A49" s="9" t="s">
        <v>132</v>
      </c>
      <c r="B49" s="12" t="s">
        <v>133</v>
      </c>
      <c r="C49" s="47">
        <f>VLOOKUP("1000",B:Z,2,0) + VLOOKUP("2000",B:Z,2,0) + VLOOKUP("3000",B:Z,2,0)</f>
        <v>662703.56000000006</v>
      </c>
      <c r="D49" s="47">
        <f>VLOOKUP("1000",B:Z,3,0) + VLOOKUP("2000",B:Z,3,0) + VLOOKUP("3000",B:Z,3,0)</f>
        <v>59706</v>
      </c>
      <c r="E49" s="47">
        <f>VLOOKUP("1000",B:Z,4,0) + VLOOKUP("2000",B:Z,4,0) + VLOOKUP("3000",B:Z,4,0)</f>
        <v>40200</v>
      </c>
      <c r="F49" s="47">
        <f>VLOOKUP("1000",B:Z,5,0) + VLOOKUP("2000",B:Z,5,0) + VLOOKUP("3000",B:Z,5,0)</f>
        <v>7860.65</v>
      </c>
      <c r="G49" s="47">
        <f>VLOOKUP("1000",B:Z,6,0) + VLOOKUP("2000",B:Z,6,0) + VLOOKUP("3000",B:Z,6,0)</f>
        <v>0</v>
      </c>
      <c r="H49" s="47">
        <f>VLOOKUP("1000",B:Z,7,0) + VLOOKUP("2000",B:Z,7,0) + VLOOKUP("3000",B:Z,7,0)</f>
        <v>0</v>
      </c>
      <c r="I49" s="47">
        <f>VLOOKUP("1000",B:Z,8,0) + VLOOKUP("2000",B:Z,8,0) + VLOOKUP("3000",B:Z,8,0)</f>
        <v>0</v>
      </c>
      <c r="J49" s="47">
        <f>VLOOKUP("1000",B:Z,9,0) + VLOOKUP("2000",B:Z,9,0) + VLOOKUP("3000",B:Z,9,0)</f>
        <v>0</v>
      </c>
      <c r="K49" s="47">
        <f>VLOOKUP("1000",B:Z,10,0) + VLOOKUP("2000",B:Z,10,0) + VLOOKUP("3000",B:Z,10,0)</f>
        <v>0</v>
      </c>
      <c r="L49" s="47">
        <f>VLOOKUP("1000",B:Z,11,0) + VLOOKUP("2000",B:Z,11,0) + VLOOKUP("3000",B:Z,11,0)</f>
        <v>546840</v>
      </c>
      <c r="M49" s="47">
        <f>VLOOKUP("1000",B:Z,12,0) + VLOOKUP("2000",B:Z,12,0) + VLOOKUP("3000",B:Z,12,0)</f>
        <v>0</v>
      </c>
      <c r="N49" s="47">
        <f>VLOOKUP("1000",B:Z,13,0) + VLOOKUP("2000",B:Z,13,0) + VLOOKUP("3000",B:Z,13,0)</f>
        <v>0</v>
      </c>
      <c r="O49" s="47">
        <f>VLOOKUP("1000",B:Z,14,0) + VLOOKUP("2000",B:Z,14,0) + VLOOKUP("3000",B:Z,14,0)</f>
        <v>8096.91</v>
      </c>
    </row>
    <row r="50" spans="1:15" ht="15" customHeight="1" x14ac:dyDescent="0.15"/>
    <row r="51" spans="1:15" ht="39.950000000000003" customHeight="1" x14ac:dyDescent="0.15">
      <c r="A51" s="5" t="s">
        <v>42</v>
      </c>
      <c r="B51" s="7"/>
      <c r="D51" s="7"/>
      <c r="F51" s="7"/>
    </row>
    <row r="52" spans="1:15" ht="20.100000000000001" customHeight="1" x14ac:dyDescent="0.15">
      <c r="B52" s="6" t="s">
        <v>43</v>
      </c>
      <c r="D52" s="6" t="s">
        <v>206</v>
      </c>
      <c r="F52" s="6" t="s">
        <v>44</v>
      </c>
    </row>
    <row r="53" spans="1:15" ht="39.950000000000003" customHeight="1" x14ac:dyDescent="0.15">
      <c r="A53" s="5" t="s">
        <v>45</v>
      </c>
      <c r="B53" s="7"/>
      <c r="D53" s="7"/>
      <c r="F53" s="7"/>
    </row>
    <row r="54" spans="1:15" ht="20.100000000000001" customHeight="1" x14ac:dyDescent="0.15">
      <c r="B54" s="6" t="s">
        <v>43</v>
      </c>
      <c r="D54" s="6" t="s">
        <v>276</v>
      </c>
      <c r="F54" s="6" t="s">
        <v>46</v>
      </c>
    </row>
    <row r="55" spans="1:15" ht="20.100000000000001" customHeight="1" x14ac:dyDescent="0.15">
      <c r="A55" s="96" t="s">
        <v>47</v>
      </c>
      <c r="B55" s="96"/>
    </row>
  </sheetData>
  <mergeCells count="11">
    <mergeCell ref="A55:B55"/>
    <mergeCell ref="A1:O1"/>
    <mergeCell ref="A2:A5"/>
    <mergeCell ref="B2:B5"/>
    <mergeCell ref="C2:O2"/>
    <mergeCell ref="C3:C5"/>
    <mergeCell ref="D3:O3"/>
    <mergeCell ref="D4:I4"/>
    <mergeCell ref="J4:K4"/>
    <mergeCell ref="L4:N4"/>
    <mergeCell ref="O4:O5"/>
  </mergeCells>
  <phoneticPr fontId="0" type="noConversion"/>
  <pageMargins left="0.4" right="0.4" top="0.4" bottom="0.4" header="0.1" footer="0.1"/>
  <pageSetup paperSize="9" scale="46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I19"/>
  <sheetViews>
    <sheetView workbookViewId="0">
      <selection sqref="A1:XFD1048576"/>
    </sheetView>
  </sheetViews>
  <sheetFormatPr defaultRowHeight="19.5" x14ac:dyDescent="0.15"/>
  <cols>
    <col min="1" max="1" width="66.85546875" style="29" customWidth="1"/>
    <col min="2" max="9" width="24.85546875" style="29" customWidth="1"/>
    <col min="10" max="16384" width="9.140625" style="29"/>
  </cols>
  <sheetData>
    <row r="1" spans="1:9" ht="50.1" customHeight="1" x14ac:dyDescent="0.15">
      <c r="A1" s="114" t="s">
        <v>693</v>
      </c>
      <c r="B1" s="114"/>
      <c r="C1" s="114"/>
      <c r="D1" s="114"/>
      <c r="E1" s="114"/>
      <c r="F1" s="114"/>
      <c r="G1" s="114"/>
      <c r="H1" s="114"/>
      <c r="I1" s="114"/>
    </row>
    <row r="2" spans="1:9" ht="30" customHeight="1" x14ac:dyDescent="0.15">
      <c r="A2" s="113" t="s">
        <v>711</v>
      </c>
      <c r="B2" s="113"/>
      <c r="C2" s="113"/>
      <c r="D2" s="113"/>
      <c r="E2" s="113"/>
      <c r="F2" s="113"/>
      <c r="G2" s="113"/>
      <c r="H2" s="113"/>
      <c r="I2" s="113"/>
    </row>
    <row r="3" spans="1:9" ht="30" customHeight="1" x14ac:dyDescent="0.15">
      <c r="I3" s="26" t="s">
        <v>1</v>
      </c>
    </row>
    <row r="4" spans="1:9" ht="30" customHeight="1" x14ac:dyDescent="0.15">
      <c r="H4" s="31" t="s">
        <v>2</v>
      </c>
      <c r="I4" s="26" t="s">
        <v>49</v>
      </c>
    </row>
    <row r="5" spans="1:9" ht="30" customHeight="1" x14ac:dyDescent="0.15">
      <c r="H5" s="31" t="s">
        <v>5</v>
      </c>
      <c r="I5" s="26" t="s">
        <v>6</v>
      </c>
    </row>
    <row r="6" spans="1:9" ht="30" customHeight="1" x14ac:dyDescent="0.15">
      <c r="A6" s="32" t="s">
        <v>3</v>
      </c>
      <c r="B6" s="112" t="s">
        <v>4</v>
      </c>
      <c r="C6" s="112"/>
      <c r="D6" s="112"/>
      <c r="E6" s="112"/>
      <c r="F6" s="112"/>
      <c r="G6" s="112"/>
      <c r="H6" s="31" t="s">
        <v>9</v>
      </c>
      <c r="I6" s="26" t="s">
        <v>10</v>
      </c>
    </row>
    <row r="7" spans="1:9" ht="30" customHeight="1" x14ac:dyDescent="0.15">
      <c r="A7" s="32" t="s">
        <v>50</v>
      </c>
      <c r="B7" s="112" t="s">
        <v>12</v>
      </c>
      <c r="C7" s="112"/>
      <c r="D7" s="112"/>
      <c r="E7" s="112"/>
      <c r="F7" s="112"/>
      <c r="G7" s="112"/>
      <c r="H7" s="31" t="s">
        <v>13</v>
      </c>
      <c r="I7" s="26" t="s">
        <v>14</v>
      </c>
    </row>
    <row r="8" spans="1:9" ht="30" customHeight="1" x14ac:dyDescent="0.15">
      <c r="A8" s="32" t="s">
        <v>15</v>
      </c>
      <c r="B8" s="112" t="s">
        <v>16</v>
      </c>
      <c r="C8" s="112"/>
      <c r="D8" s="112"/>
      <c r="E8" s="112"/>
      <c r="F8" s="112"/>
      <c r="G8" s="112"/>
      <c r="H8" s="31" t="s">
        <v>51</v>
      </c>
      <c r="I8" s="26" t="s">
        <v>18</v>
      </c>
    </row>
    <row r="9" spans="1:9" ht="30" customHeight="1" x14ac:dyDescent="0.15">
      <c r="A9" s="32" t="s">
        <v>19</v>
      </c>
      <c r="B9" s="113"/>
      <c r="C9" s="113"/>
      <c r="D9" s="113"/>
      <c r="E9" s="113"/>
      <c r="F9" s="113"/>
      <c r="G9" s="113"/>
      <c r="H9" s="31" t="s">
        <v>20</v>
      </c>
      <c r="I9" s="26" t="s">
        <v>21</v>
      </c>
    </row>
    <row r="10" spans="1:9" ht="30" customHeight="1" x14ac:dyDescent="0.15"/>
    <row r="11" spans="1:9" ht="30" customHeight="1" x14ac:dyDescent="0.15">
      <c r="A11" s="110" t="s">
        <v>455</v>
      </c>
      <c r="B11" s="110" t="s">
        <v>456</v>
      </c>
      <c r="C11" s="110" t="s">
        <v>694</v>
      </c>
      <c r="D11" s="110" t="s">
        <v>461</v>
      </c>
      <c r="E11" s="110"/>
      <c r="F11" s="110" t="s">
        <v>54</v>
      </c>
      <c r="G11" s="110" t="s">
        <v>695</v>
      </c>
      <c r="H11" s="110" t="s">
        <v>696</v>
      </c>
      <c r="I11" s="110" t="s">
        <v>697</v>
      </c>
    </row>
    <row r="12" spans="1:9" ht="30" customHeight="1" x14ac:dyDescent="0.15">
      <c r="A12" s="110"/>
      <c r="B12" s="110"/>
      <c r="C12" s="110"/>
      <c r="D12" s="26" t="s">
        <v>220</v>
      </c>
      <c r="E12" s="26" t="s">
        <v>221</v>
      </c>
      <c r="F12" s="110"/>
      <c r="G12" s="110"/>
      <c r="H12" s="110"/>
      <c r="I12" s="110"/>
    </row>
    <row r="13" spans="1:9" ht="20.100000000000001" customHeight="1" x14ac:dyDescent="0.15">
      <c r="A13" s="26" t="s">
        <v>60</v>
      </c>
      <c r="B13" s="26" t="s">
        <v>61</v>
      </c>
      <c r="C13" s="26" t="s">
        <v>62</v>
      </c>
      <c r="D13" s="26" t="s">
        <v>63</v>
      </c>
      <c r="E13" s="26" t="s">
        <v>64</v>
      </c>
      <c r="F13" s="26" t="s">
        <v>65</v>
      </c>
      <c r="G13" s="26" t="s">
        <v>151</v>
      </c>
      <c r="H13" s="26" t="s">
        <v>152</v>
      </c>
      <c r="I13" s="26" t="s">
        <v>153</v>
      </c>
    </row>
    <row r="14" spans="1:9" ht="15" customHeight="1" x14ac:dyDescent="0.15"/>
    <row r="15" spans="1:9" ht="39.950000000000003" customHeight="1" x14ac:dyDescent="0.15">
      <c r="A15" s="32" t="s">
        <v>42</v>
      </c>
      <c r="B15" s="33"/>
      <c r="D15" s="33"/>
      <c r="F15" s="33"/>
    </row>
    <row r="16" spans="1:9" ht="20.100000000000001" customHeight="1" x14ac:dyDescent="0.15">
      <c r="B16" s="30" t="s">
        <v>43</v>
      </c>
      <c r="D16" s="30" t="s">
        <v>206</v>
      </c>
      <c r="F16" s="30" t="s">
        <v>44</v>
      </c>
    </row>
    <row r="17" spans="1:6" ht="39.950000000000003" customHeight="1" x14ac:dyDescent="0.15">
      <c r="A17" s="32" t="s">
        <v>45</v>
      </c>
      <c r="B17" s="33"/>
      <c r="D17" s="33"/>
      <c r="F17" s="33"/>
    </row>
    <row r="18" spans="1:6" ht="20.100000000000001" customHeight="1" x14ac:dyDescent="0.15">
      <c r="B18" s="30" t="s">
        <v>43</v>
      </c>
      <c r="D18" s="30" t="s">
        <v>276</v>
      </c>
      <c r="F18" s="30" t="s">
        <v>46</v>
      </c>
    </row>
    <row r="19" spans="1:6" ht="20.100000000000001" customHeight="1" x14ac:dyDescent="0.15">
      <c r="A19" s="111" t="s">
        <v>47</v>
      </c>
      <c r="B19" s="111"/>
    </row>
  </sheetData>
  <mergeCells count="15">
    <mergeCell ref="A1:I1"/>
    <mergeCell ref="A2:I2"/>
    <mergeCell ref="B6:G6"/>
    <mergeCell ref="B7:G7"/>
    <mergeCell ref="B8:G8"/>
    <mergeCell ref="H11:H12"/>
    <mergeCell ref="I11:I12"/>
    <mergeCell ref="A19:B19"/>
    <mergeCell ref="B9:G9"/>
    <mergeCell ref="A11:A12"/>
    <mergeCell ref="B11:B12"/>
    <mergeCell ref="C11:C12"/>
    <mergeCell ref="D11:E11"/>
    <mergeCell ref="F11:F12"/>
    <mergeCell ref="G11:G12"/>
  </mergeCells>
  <phoneticPr fontId="0" type="noConversion"/>
  <pageMargins left="0.4" right="0.4" top="0.4" bottom="0.4" header="0.1" footer="0.1"/>
  <pageSetup paperSize="9" scale="57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F20"/>
  <sheetViews>
    <sheetView topLeftCell="A4" workbookViewId="0">
      <selection activeCell="A4" sqref="A1:XFD1048576"/>
    </sheetView>
  </sheetViews>
  <sheetFormatPr defaultRowHeight="18" x14ac:dyDescent="0.15"/>
  <cols>
    <col min="1" max="1" width="38.140625" style="13" customWidth="1"/>
    <col min="2" max="6" width="30.5703125" style="13" customWidth="1"/>
    <col min="7" max="16384" width="9.140625" style="13"/>
  </cols>
  <sheetData>
    <row r="1" spans="1:6" ht="50.1" customHeight="1" x14ac:dyDescent="0.15">
      <c r="A1" s="116" t="s">
        <v>39</v>
      </c>
      <c r="B1" s="116"/>
      <c r="C1" s="116"/>
      <c r="D1" s="116"/>
      <c r="E1" s="116"/>
      <c r="F1" s="116"/>
    </row>
    <row r="2" spans="1:6" ht="50.1" customHeight="1" x14ac:dyDescent="0.15">
      <c r="A2" s="116" t="s">
        <v>40</v>
      </c>
      <c r="B2" s="116"/>
      <c r="C2" s="116"/>
      <c r="D2" s="116"/>
      <c r="E2" s="116"/>
      <c r="F2" s="116"/>
    </row>
    <row r="3" spans="1:6" ht="30" customHeight="1" x14ac:dyDescent="0.15">
      <c r="A3" s="126" t="s">
        <v>711</v>
      </c>
      <c r="B3" s="126"/>
      <c r="C3" s="126"/>
      <c r="D3" s="126"/>
      <c r="E3" s="126"/>
      <c r="F3" s="126"/>
    </row>
    <row r="4" spans="1:6" ht="30" customHeight="1" x14ac:dyDescent="0.15">
      <c r="F4" s="14" t="s">
        <v>1</v>
      </c>
    </row>
    <row r="5" spans="1:6" ht="30" customHeight="1" x14ac:dyDescent="0.15">
      <c r="E5" s="23" t="s">
        <v>2</v>
      </c>
      <c r="F5" s="14" t="s">
        <v>49</v>
      </c>
    </row>
    <row r="6" spans="1:6" ht="30" customHeight="1" x14ac:dyDescent="0.15">
      <c r="A6" s="20" t="s">
        <v>3</v>
      </c>
      <c r="B6" s="125" t="s">
        <v>4</v>
      </c>
      <c r="C6" s="125"/>
      <c r="D6" s="125"/>
      <c r="E6" s="23" t="s">
        <v>9</v>
      </c>
      <c r="F6" s="14" t="s">
        <v>10</v>
      </c>
    </row>
    <row r="7" spans="1:6" ht="30" customHeight="1" x14ac:dyDescent="0.15">
      <c r="A7" s="20" t="s">
        <v>50</v>
      </c>
      <c r="B7" s="125" t="s">
        <v>12</v>
      </c>
      <c r="C7" s="125"/>
      <c r="D7" s="125"/>
      <c r="E7" s="23" t="s">
        <v>13</v>
      </c>
      <c r="F7" s="14" t="s">
        <v>14</v>
      </c>
    </row>
    <row r="8" spans="1:6" ht="30" customHeight="1" x14ac:dyDescent="0.15">
      <c r="A8" s="20" t="s">
        <v>15</v>
      </c>
      <c r="B8" s="125" t="s">
        <v>16</v>
      </c>
      <c r="C8" s="125"/>
      <c r="D8" s="125"/>
      <c r="E8" s="23" t="s">
        <v>51</v>
      </c>
      <c r="F8" s="14" t="s">
        <v>18</v>
      </c>
    </row>
    <row r="9" spans="1:6" ht="30" customHeight="1" x14ac:dyDescent="0.15">
      <c r="A9" s="20" t="s">
        <v>19</v>
      </c>
      <c r="B9" s="126"/>
      <c r="C9" s="126"/>
      <c r="D9" s="126"/>
      <c r="E9" s="23" t="s">
        <v>20</v>
      </c>
      <c r="F9" s="14" t="s">
        <v>21</v>
      </c>
    </row>
    <row r="10" spans="1:6" ht="30" customHeight="1" x14ac:dyDescent="0.15">
      <c r="A10" s="20" t="s">
        <v>698</v>
      </c>
      <c r="B10" s="126"/>
      <c r="C10" s="126"/>
      <c r="D10" s="126"/>
      <c r="E10" s="23" t="s">
        <v>699</v>
      </c>
      <c r="F10" s="14" t="s">
        <v>700</v>
      </c>
    </row>
    <row r="11" spans="1:6" ht="30" customHeight="1" x14ac:dyDescent="0.15"/>
    <row r="12" spans="1:6" ht="50.1" customHeight="1" x14ac:dyDescent="0.15">
      <c r="A12" s="115" t="s">
        <v>701</v>
      </c>
      <c r="B12" s="115"/>
      <c r="C12" s="115" t="s">
        <v>702</v>
      </c>
      <c r="D12" s="115"/>
      <c r="E12" s="115"/>
      <c r="F12" s="115"/>
    </row>
    <row r="13" spans="1:6" ht="50.1" customHeight="1" x14ac:dyDescent="0.15">
      <c r="A13" s="115"/>
      <c r="B13" s="129"/>
      <c r="C13" s="115" t="s">
        <v>466</v>
      </c>
      <c r="D13" s="115"/>
      <c r="E13" s="14" t="s">
        <v>2</v>
      </c>
      <c r="F13" s="14" t="s">
        <v>703</v>
      </c>
    </row>
    <row r="14" spans="1:6" ht="20.100000000000001" customHeight="1" x14ac:dyDescent="0.15">
      <c r="A14" s="115" t="s">
        <v>60</v>
      </c>
      <c r="B14" s="115"/>
      <c r="C14" s="115" t="s">
        <v>61</v>
      </c>
      <c r="D14" s="115"/>
      <c r="E14" s="14" t="s">
        <v>62</v>
      </c>
      <c r="F14" s="14" t="s">
        <v>63</v>
      </c>
    </row>
    <row r="15" spans="1:6" ht="15" customHeight="1" x14ac:dyDescent="0.15"/>
    <row r="16" spans="1:6" ht="39.950000000000003" customHeight="1" x14ac:dyDescent="0.15">
      <c r="A16" s="20" t="s">
        <v>42</v>
      </c>
      <c r="B16" s="21"/>
      <c r="D16" s="21"/>
      <c r="F16" s="21"/>
    </row>
    <row r="17" spans="1:6" ht="20.100000000000001" customHeight="1" x14ac:dyDescent="0.15">
      <c r="B17" s="22" t="s">
        <v>43</v>
      </c>
      <c r="D17" s="22" t="s">
        <v>206</v>
      </c>
      <c r="F17" s="22" t="s">
        <v>44</v>
      </c>
    </row>
    <row r="18" spans="1:6" ht="39.950000000000003" customHeight="1" x14ac:dyDescent="0.15">
      <c r="A18" s="20" t="s">
        <v>45</v>
      </c>
      <c r="B18" s="21"/>
      <c r="D18" s="21"/>
      <c r="F18" s="21"/>
    </row>
    <row r="19" spans="1:6" ht="20.100000000000001" customHeight="1" x14ac:dyDescent="0.15">
      <c r="B19" s="22" t="s">
        <v>43</v>
      </c>
      <c r="D19" s="22" t="s">
        <v>276</v>
      </c>
      <c r="F19" s="22" t="s">
        <v>46</v>
      </c>
    </row>
    <row r="20" spans="1:6" ht="20.100000000000001" customHeight="1" x14ac:dyDescent="0.15">
      <c r="A20" s="117" t="s">
        <v>47</v>
      </c>
      <c r="B20" s="117"/>
    </row>
  </sheetData>
  <mergeCells count="14">
    <mergeCell ref="A1:F1"/>
    <mergeCell ref="A2:F2"/>
    <mergeCell ref="A3:F3"/>
    <mergeCell ref="B6:D6"/>
    <mergeCell ref="B7:D7"/>
    <mergeCell ref="A14:B14"/>
    <mergeCell ref="C14:D14"/>
    <mergeCell ref="A20:B20"/>
    <mergeCell ref="B8:D8"/>
    <mergeCell ref="B9:D9"/>
    <mergeCell ref="B10:D10"/>
    <mergeCell ref="A12:B13"/>
    <mergeCell ref="C12:F12"/>
    <mergeCell ref="C13:D13"/>
  </mergeCells>
  <phoneticPr fontId="0" type="noConversion"/>
  <pageMargins left="0.4" right="0.4" top="0.4" bottom="0.4" header="0.1" footer="0.1"/>
  <pageSetup paperSize="9" scale="79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19"/>
  <sheetViews>
    <sheetView topLeftCell="A4" workbookViewId="0">
      <selection activeCell="A4" sqref="A1:XFD1048576"/>
    </sheetView>
  </sheetViews>
  <sheetFormatPr defaultRowHeight="18" x14ac:dyDescent="0.15"/>
  <cols>
    <col min="1" max="1" width="57.28515625" style="13" customWidth="1"/>
    <col min="2" max="7" width="30.5703125" style="13" customWidth="1"/>
    <col min="8" max="16384" width="9.140625" style="13"/>
  </cols>
  <sheetData>
    <row r="1" spans="1:7" ht="50.1" customHeight="1" x14ac:dyDescent="0.15">
      <c r="A1" s="116" t="s">
        <v>41</v>
      </c>
      <c r="B1" s="116"/>
      <c r="C1" s="116"/>
      <c r="D1" s="116"/>
      <c r="E1" s="116"/>
      <c r="F1" s="116"/>
      <c r="G1" s="116"/>
    </row>
    <row r="2" spans="1:7" ht="30" customHeight="1" x14ac:dyDescent="0.15">
      <c r="A2" s="126" t="s">
        <v>711</v>
      </c>
      <c r="B2" s="126"/>
      <c r="C2" s="126"/>
      <c r="D2" s="126"/>
      <c r="E2" s="126"/>
      <c r="F2" s="126"/>
      <c r="G2" s="126"/>
    </row>
    <row r="3" spans="1:7" ht="30" customHeight="1" x14ac:dyDescent="0.15">
      <c r="G3" s="14" t="s">
        <v>1</v>
      </c>
    </row>
    <row r="4" spans="1:7" ht="30" customHeight="1" x14ac:dyDescent="0.15">
      <c r="F4" s="23" t="s">
        <v>2</v>
      </c>
      <c r="G4" s="14" t="s">
        <v>49</v>
      </c>
    </row>
    <row r="5" spans="1:7" ht="30" customHeight="1" x14ac:dyDescent="0.15">
      <c r="A5" s="20" t="s">
        <v>3</v>
      </c>
      <c r="B5" s="125" t="s">
        <v>4</v>
      </c>
      <c r="C5" s="125"/>
      <c r="D5" s="125"/>
      <c r="E5" s="125"/>
      <c r="F5" s="23" t="s">
        <v>9</v>
      </c>
      <c r="G5" s="14" t="s">
        <v>10</v>
      </c>
    </row>
    <row r="6" spans="1:7" ht="30" customHeight="1" x14ac:dyDescent="0.15">
      <c r="A6" s="20" t="s">
        <v>50</v>
      </c>
      <c r="B6" s="125" t="s">
        <v>12</v>
      </c>
      <c r="C6" s="125"/>
      <c r="D6" s="125"/>
      <c r="E6" s="125"/>
      <c r="F6" s="23" t="s">
        <v>13</v>
      </c>
      <c r="G6" s="14" t="s">
        <v>14</v>
      </c>
    </row>
    <row r="7" spans="1:7" ht="30" customHeight="1" x14ac:dyDescent="0.15">
      <c r="A7" s="20" t="s">
        <v>15</v>
      </c>
      <c r="B7" s="125" t="s">
        <v>16</v>
      </c>
      <c r="C7" s="125"/>
      <c r="D7" s="125"/>
      <c r="E7" s="125"/>
      <c r="F7" s="23" t="s">
        <v>51</v>
      </c>
      <c r="G7" s="14" t="s">
        <v>18</v>
      </c>
    </row>
    <row r="8" spans="1:7" ht="30" customHeight="1" x14ac:dyDescent="0.15">
      <c r="A8" s="20" t="s">
        <v>19</v>
      </c>
      <c r="B8" s="126"/>
      <c r="C8" s="126"/>
      <c r="D8" s="126"/>
      <c r="E8" s="126"/>
      <c r="F8" s="23" t="s">
        <v>20</v>
      </c>
      <c r="G8" s="14" t="s">
        <v>21</v>
      </c>
    </row>
    <row r="9" spans="1:7" ht="30" customHeight="1" x14ac:dyDescent="0.15">
      <c r="A9" s="20" t="s">
        <v>698</v>
      </c>
      <c r="B9" s="126"/>
      <c r="C9" s="126"/>
      <c r="D9" s="126"/>
      <c r="E9" s="126"/>
      <c r="F9" s="23" t="s">
        <v>699</v>
      </c>
      <c r="G9" s="14" t="s">
        <v>700</v>
      </c>
    </row>
    <row r="10" spans="1:7" ht="30" customHeight="1" x14ac:dyDescent="0.15"/>
    <row r="11" spans="1:7" ht="39.950000000000003" customHeight="1" x14ac:dyDescent="0.15">
      <c r="A11" s="115" t="s">
        <v>704</v>
      </c>
      <c r="B11" s="115" t="s">
        <v>461</v>
      </c>
      <c r="C11" s="115"/>
      <c r="D11" s="115" t="s">
        <v>705</v>
      </c>
      <c r="E11" s="115" t="s">
        <v>706</v>
      </c>
      <c r="F11" s="115" t="s">
        <v>707</v>
      </c>
      <c r="G11" s="115" t="s">
        <v>708</v>
      </c>
    </row>
    <row r="12" spans="1:7" ht="39.950000000000003" customHeight="1" x14ac:dyDescent="0.15">
      <c r="A12" s="115"/>
      <c r="B12" s="14" t="s">
        <v>466</v>
      </c>
      <c r="C12" s="14" t="s">
        <v>709</v>
      </c>
      <c r="D12" s="115"/>
      <c r="E12" s="115"/>
      <c r="F12" s="115"/>
      <c r="G12" s="115"/>
    </row>
    <row r="13" spans="1:7" ht="20.100000000000001" customHeight="1" x14ac:dyDescent="0.15">
      <c r="A13" s="14" t="s">
        <v>60</v>
      </c>
      <c r="B13" s="14" t="s">
        <v>61</v>
      </c>
      <c r="C13" s="14" t="s">
        <v>62</v>
      </c>
      <c r="D13" s="14" t="s">
        <v>63</v>
      </c>
      <c r="E13" s="14" t="s">
        <v>64</v>
      </c>
      <c r="F13" s="14" t="s">
        <v>65</v>
      </c>
      <c r="G13" s="14" t="s">
        <v>151</v>
      </c>
    </row>
    <row r="14" spans="1:7" ht="15" customHeight="1" x14ac:dyDescent="0.15"/>
    <row r="15" spans="1:7" ht="39.950000000000003" customHeight="1" x14ac:dyDescent="0.15">
      <c r="A15" s="20" t="s">
        <v>42</v>
      </c>
      <c r="B15" s="21"/>
      <c r="D15" s="21"/>
      <c r="F15" s="21"/>
    </row>
    <row r="16" spans="1:7" ht="20.100000000000001" customHeight="1" x14ac:dyDescent="0.15">
      <c r="B16" s="22" t="s">
        <v>43</v>
      </c>
      <c r="D16" s="22" t="s">
        <v>206</v>
      </c>
      <c r="F16" s="22" t="s">
        <v>44</v>
      </c>
    </row>
    <row r="17" spans="1:6" ht="39.950000000000003" customHeight="1" x14ac:dyDescent="0.15">
      <c r="A17" s="20" t="s">
        <v>45</v>
      </c>
      <c r="B17" s="21"/>
      <c r="D17" s="21"/>
      <c r="F17" s="21"/>
    </row>
    <row r="18" spans="1:6" ht="20.100000000000001" customHeight="1" x14ac:dyDescent="0.15">
      <c r="B18" s="22" t="s">
        <v>43</v>
      </c>
      <c r="D18" s="22" t="s">
        <v>276</v>
      </c>
      <c r="F18" s="22" t="s">
        <v>46</v>
      </c>
    </row>
    <row r="19" spans="1:6" ht="20.100000000000001" customHeight="1" x14ac:dyDescent="0.15">
      <c r="A19" s="117" t="s">
        <v>47</v>
      </c>
      <c r="B19" s="117"/>
    </row>
  </sheetData>
  <mergeCells count="14">
    <mergeCell ref="A1:G1"/>
    <mergeCell ref="A2:G2"/>
    <mergeCell ref="B5:E5"/>
    <mergeCell ref="B6:E6"/>
    <mergeCell ref="B7:E7"/>
    <mergeCell ref="F11:F12"/>
    <mergeCell ref="G11:G12"/>
    <mergeCell ref="A19:B19"/>
    <mergeCell ref="B8:E8"/>
    <mergeCell ref="B9:E9"/>
    <mergeCell ref="A11:A12"/>
    <mergeCell ref="B11:C11"/>
    <mergeCell ref="D11:D12"/>
    <mergeCell ref="E11:E12"/>
  </mergeCells>
  <phoneticPr fontId="0" type="noConversion"/>
  <pageMargins left="0.4" right="0.4" top="0.4" bottom="0.4" header="0.1" footer="0.1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1:T38"/>
  <sheetViews>
    <sheetView zoomScale="40" zoomScaleNormal="40" workbookViewId="0">
      <selection activeCell="E6" sqref="E6"/>
    </sheetView>
  </sheetViews>
  <sheetFormatPr defaultRowHeight="19.5" x14ac:dyDescent="0.15"/>
  <cols>
    <col min="1" max="1" width="76.42578125" style="84" customWidth="1"/>
    <col min="2" max="2" width="12.85546875" style="84" customWidth="1"/>
    <col min="3" max="3" width="38.85546875" style="84" customWidth="1"/>
    <col min="4" max="4" width="18.85546875" style="84" customWidth="1"/>
    <col min="5" max="5" width="41.28515625" style="84" customWidth="1"/>
    <col min="6" max="6" width="20.28515625" style="84" customWidth="1"/>
    <col min="7" max="7" width="37" style="84" customWidth="1"/>
    <col min="8" max="8" width="20.5703125" style="84" customWidth="1"/>
    <col min="9" max="13" width="22.85546875" style="84" customWidth="1"/>
    <col min="14" max="14" width="25.42578125" style="84" customWidth="1"/>
    <col min="15" max="15" width="35.42578125" style="84" customWidth="1"/>
    <col min="16" max="16" width="18" style="84" customWidth="1"/>
    <col min="17" max="17" width="26.140625" style="84" customWidth="1"/>
    <col min="18" max="20" width="22.85546875" style="84" customWidth="1"/>
    <col min="21" max="16384" width="9.140625" style="84"/>
  </cols>
  <sheetData>
    <row r="1" spans="1:20" ht="47.25" customHeight="1" x14ac:dyDescent="0.15">
      <c r="A1" s="103" t="s">
        <v>136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50.1" customHeight="1" x14ac:dyDescent="0.15">
      <c r="A2" s="104" t="s">
        <v>53</v>
      </c>
      <c r="B2" s="104" t="s">
        <v>54</v>
      </c>
      <c r="C2" s="104" t="s">
        <v>137</v>
      </c>
      <c r="D2" s="104" t="s">
        <v>138</v>
      </c>
      <c r="E2" s="104" t="s">
        <v>139</v>
      </c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0" ht="50.1" customHeight="1" x14ac:dyDescent="0.15">
      <c r="A3" s="104"/>
      <c r="B3" s="104"/>
      <c r="C3" s="104"/>
      <c r="D3" s="104"/>
      <c r="E3" s="104" t="s">
        <v>140</v>
      </c>
      <c r="F3" s="104" t="s">
        <v>141</v>
      </c>
      <c r="G3" s="104" t="s">
        <v>142</v>
      </c>
      <c r="H3" s="104" t="s">
        <v>141</v>
      </c>
      <c r="I3" s="104" t="s">
        <v>143</v>
      </c>
      <c r="J3" s="104"/>
      <c r="K3" s="104"/>
      <c r="L3" s="104"/>
      <c r="M3" s="104" t="s">
        <v>144</v>
      </c>
      <c r="N3" s="104" t="s">
        <v>141</v>
      </c>
      <c r="O3" s="104" t="s">
        <v>145</v>
      </c>
      <c r="P3" s="104" t="s">
        <v>141</v>
      </c>
      <c r="Q3" s="104" t="s">
        <v>146</v>
      </c>
      <c r="R3" s="104"/>
      <c r="S3" s="104"/>
      <c r="T3" s="104"/>
    </row>
    <row r="4" spans="1:20" ht="190.5" customHeight="1" x14ac:dyDescent="0.15">
      <c r="A4" s="104"/>
      <c r="B4" s="104"/>
      <c r="C4" s="104"/>
      <c r="D4" s="104"/>
      <c r="E4" s="104"/>
      <c r="F4" s="104"/>
      <c r="G4" s="104"/>
      <c r="H4" s="104"/>
      <c r="I4" s="85" t="s">
        <v>147</v>
      </c>
      <c r="J4" s="85" t="s">
        <v>141</v>
      </c>
      <c r="K4" s="85" t="s">
        <v>148</v>
      </c>
      <c r="L4" s="85" t="s">
        <v>141</v>
      </c>
      <c r="M4" s="104"/>
      <c r="N4" s="104"/>
      <c r="O4" s="104"/>
      <c r="P4" s="104"/>
      <c r="Q4" s="85" t="s">
        <v>149</v>
      </c>
      <c r="R4" s="85" t="s">
        <v>141</v>
      </c>
      <c r="S4" s="85" t="s">
        <v>150</v>
      </c>
      <c r="T4" s="85" t="s">
        <v>141</v>
      </c>
    </row>
    <row r="5" spans="1:20" ht="20.100000000000001" customHeight="1" x14ac:dyDescent="0.15">
      <c r="A5" s="85" t="s">
        <v>60</v>
      </c>
      <c r="B5" s="85" t="s">
        <v>61</v>
      </c>
      <c r="C5" s="85" t="s">
        <v>62</v>
      </c>
      <c r="D5" s="85" t="s">
        <v>63</v>
      </c>
      <c r="E5" s="85" t="s">
        <v>64</v>
      </c>
      <c r="F5" s="85" t="s">
        <v>65</v>
      </c>
      <c r="G5" s="85" t="s">
        <v>151</v>
      </c>
      <c r="H5" s="85" t="s">
        <v>152</v>
      </c>
      <c r="I5" s="85" t="s">
        <v>153</v>
      </c>
      <c r="J5" s="85" t="s">
        <v>154</v>
      </c>
      <c r="K5" s="85" t="s">
        <v>155</v>
      </c>
      <c r="L5" s="85" t="s">
        <v>156</v>
      </c>
      <c r="M5" s="85" t="s">
        <v>157</v>
      </c>
      <c r="N5" s="85" t="s">
        <v>158</v>
      </c>
      <c r="O5" s="85" t="s">
        <v>159</v>
      </c>
      <c r="P5" s="85" t="s">
        <v>160</v>
      </c>
      <c r="Q5" s="85" t="s">
        <v>161</v>
      </c>
      <c r="R5" s="85" t="s">
        <v>162</v>
      </c>
      <c r="S5" s="85" t="s">
        <v>163</v>
      </c>
      <c r="T5" s="85" t="s">
        <v>164</v>
      </c>
    </row>
    <row r="6" spans="1:20" ht="68.25" customHeight="1" x14ac:dyDescent="0.15">
      <c r="A6" s="86" t="s">
        <v>165</v>
      </c>
      <c r="B6" s="85" t="s">
        <v>67</v>
      </c>
      <c r="C6" s="87">
        <f>28908339.28-39407.3</f>
        <v>28868931.98</v>
      </c>
      <c r="D6" s="87">
        <v>67.376420290034716</v>
      </c>
      <c r="E6" s="87">
        <f>26688100.35-39407.3</f>
        <v>26648693.050000001</v>
      </c>
      <c r="F6" s="87">
        <v>68.905717674156151</v>
      </c>
      <c r="G6" s="87">
        <v>1848885</v>
      </c>
      <c r="H6" s="87">
        <v>74.664766652558768</v>
      </c>
      <c r="I6" s="87">
        <v>0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  <c r="O6" s="87">
        <v>371353.93</v>
      </c>
      <c r="P6" s="87">
        <v>21.868222876990643</v>
      </c>
      <c r="Q6" s="87">
        <v>0</v>
      </c>
      <c r="R6" s="87">
        <v>0</v>
      </c>
      <c r="S6" s="87">
        <v>0</v>
      </c>
      <c r="T6" s="87">
        <v>0</v>
      </c>
    </row>
    <row r="7" spans="1:20" ht="68.25" customHeight="1" x14ac:dyDescent="0.15">
      <c r="A7" s="86" t="s">
        <v>166</v>
      </c>
      <c r="B7" s="85" t="s">
        <v>69</v>
      </c>
      <c r="C7" s="87">
        <f>8658152.02+39407.3</f>
        <v>8697559.3200000003</v>
      </c>
      <c r="D7" s="87">
        <v>20.179481214201839</v>
      </c>
      <c r="E7" s="87">
        <v>7986104.2800000003</v>
      </c>
      <c r="F7" s="87">
        <v>20.619236274493776</v>
      </c>
      <c r="G7" s="87">
        <v>558363.28</v>
      </c>
      <c r="H7" s="87">
        <v>22.548759932909473</v>
      </c>
      <c r="I7" s="87">
        <v>0</v>
      </c>
      <c r="J7" s="87">
        <v>0</v>
      </c>
      <c r="K7" s="87">
        <v>0</v>
      </c>
      <c r="L7" s="87">
        <v>0</v>
      </c>
      <c r="M7" s="87">
        <v>0</v>
      </c>
      <c r="N7" s="87">
        <v>0</v>
      </c>
      <c r="O7" s="87">
        <v>113684.46</v>
      </c>
      <c r="P7" s="87">
        <v>6.6946298614109931</v>
      </c>
      <c r="Q7" s="87">
        <v>0</v>
      </c>
      <c r="R7" s="87">
        <v>0</v>
      </c>
      <c r="S7" s="87">
        <v>0</v>
      </c>
      <c r="T7" s="87">
        <v>0</v>
      </c>
    </row>
    <row r="8" spans="1:20" ht="68.25" customHeight="1" x14ac:dyDescent="0.15">
      <c r="A8" s="86" t="s">
        <v>167</v>
      </c>
      <c r="B8" s="85" t="s">
        <v>71</v>
      </c>
      <c r="C8" s="87">
        <v>5298722.6900000004</v>
      </c>
      <c r="D8" s="87">
        <v>12.349687870474702</v>
      </c>
      <c r="E8" s="87">
        <v>4016872.76</v>
      </c>
      <c r="F8" s="87">
        <v>10.371120338415858</v>
      </c>
      <c r="G8" s="87">
        <v>69000</v>
      </c>
      <c r="H8" s="87">
        <v>2.7864734145317609</v>
      </c>
      <c r="I8" s="87">
        <v>0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1212849.93</v>
      </c>
      <c r="P8" s="87">
        <v>71.422086701984014</v>
      </c>
      <c r="Q8" s="87">
        <v>0</v>
      </c>
      <c r="R8" s="87">
        <v>0</v>
      </c>
      <c r="S8" s="87">
        <v>0</v>
      </c>
      <c r="T8" s="87">
        <v>0</v>
      </c>
    </row>
    <row r="9" spans="1:20" ht="68.25" customHeight="1" x14ac:dyDescent="0.15">
      <c r="A9" s="86" t="s">
        <v>168</v>
      </c>
      <c r="B9" s="85" t="s">
        <v>169</v>
      </c>
      <c r="C9" s="87">
        <v>116027.73</v>
      </c>
      <c r="D9" s="87">
        <v>0.27042484267462458</v>
      </c>
      <c r="E9" s="87">
        <v>111827.73</v>
      </c>
      <c r="F9" s="87">
        <v>0.28872680672162421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4200</v>
      </c>
      <c r="P9" s="87">
        <v>0.24732883824162222</v>
      </c>
      <c r="Q9" s="87">
        <v>0</v>
      </c>
      <c r="R9" s="87">
        <v>0</v>
      </c>
      <c r="S9" s="87">
        <v>0</v>
      </c>
      <c r="T9" s="87">
        <v>0</v>
      </c>
    </row>
    <row r="10" spans="1:20" ht="68.25" customHeight="1" x14ac:dyDescent="0.15">
      <c r="A10" s="86" t="s">
        <v>170</v>
      </c>
      <c r="B10" s="85" t="s">
        <v>171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</v>
      </c>
      <c r="T10" s="87">
        <v>0</v>
      </c>
    </row>
    <row r="11" spans="1:20" ht="68.25" customHeight="1" x14ac:dyDescent="0.15">
      <c r="A11" s="86" t="s">
        <v>172</v>
      </c>
      <c r="B11" s="85" t="s">
        <v>173</v>
      </c>
      <c r="C11" s="87">
        <v>1060356.08</v>
      </c>
      <c r="D11" s="87">
        <v>2.4713628898288507</v>
      </c>
      <c r="E11" s="87">
        <v>1060356.08</v>
      </c>
      <c r="F11" s="87">
        <v>2.7377218956895493</v>
      </c>
      <c r="G11" s="87">
        <v>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</row>
    <row r="12" spans="1:20" ht="68.25" customHeight="1" x14ac:dyDescent="0.15">
      <c r="A12" s="86" t="s">
        <v>174</v>
      </c>
      <c r="B12" s="85" t="s">
        <v>175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  <c r="I12" s="87">
        <v>0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</row>
    <row r="13" spans="1:20" ht="68.25" customHeight="1" x14ac:dyDescent="0.15">
      <c r="A13" s="86" t="s">
        <v>176</v>
      </c>
      <c r="B13" s="85" t="s">
        <v>177</v>
      </c>
      <c r="C13" s="87">
        <v>522231.18</v>
      </c>
      <c r="D13" s="87">
        <v>1.2171597659566689</v>
      </c>
      <c r="E13" s="87">
        <v>326196.07</v>
      </c>
      <c r="F13" s="87">
        <v>0.84220210547279639</v>
      </c>
      <c r="G13" s="87">
        <v>0</v>
      </c>
      <c r="H13" s="87">
        <v>0</v>
      </c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196035.11</v>
      </c>
      <c r="P13" s="87">
        <v>11.544080002587766</v>
      </c>
      <c r="Q13" s="87">
        <v>0</v>
      </c>
      <c r="R13" s="87">
        <v>0</v>
      </c>
      <c r="S13" s="87">
        <v>0</v>
      </c>
      <c r="T13" s="87">
        <v>0</v>
      </c>
    </row>
    <row r="14" spans="1:20" ht="68.25" customHeight="1" x14ac:dyDescent="0.15">
      <c r="A14" s="86" t="s">
        <v>178</v>
      </c>
      <c r="B14" s="85" t="s">
        <v>179</v>
      </c>
      <c r="C14" s="87">
        <v>462663.97</v>
      </c>
      <c r="D14" s="87">
        <v>1.0783269766500407</v>
      </c>
      <c r="E14" s="87">
        <v>423491.47</v>
      </c>
      <c r="F14" s="87">
        <v>1.0934080465278739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39172.5</v>
      </c>
      <c r="P14" s="87">
        <v>2.3067830752428442</v>
      </c>
      <c r="Q14" s="87">
        <v>0</v>
      </c>
      <c r="R14" s="87">
        <v>0</v>
      </c>
      <c r="S14" s="87">
        <v>0</v>
      </c>
      <c r="T14" s="87">
        <v>0</v>
      </c>
    </row>
    <row r="15" spans="1:20" ht="68.25" customHeight="1" x14ac:dyDescent="0.15">
      <c r="A15" s="86" t="s">
        <v>180</v>
      </c>
      <c r="B15" s="85" t="s">
        <v>181</v>
      </c>
      <c r="C15" s="87">
        <f>3137104.43</f>
        <v>3137104.43</v>
      </c>
      <c r="D15" s="87">
        <v>7.3116225917426627</v>
      </c>
      <c r="E15" s="87">
        <v>2095001.41</v>
      </c>
      <c r="F15" s="87">
        <v>5.4090614840040141</v>
      </c>
      <c r="G15" s="87">
        <v>69000</v>
      </c>
      <c r="H15" s="87">
        <v>2.7864734145317609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f>339.3+973103.02</f>
        <v>973442.32000000007</v>
      </c>
      <c r="P15" s="87">
        <v>57.303914149050968</v>
      </c>
      <c r="Q15" s="87">
        <v>0</v>
      </c>
      <c r="R15" s="87">
        <v>0</v>
      </c>
      <c r="S15" s="87">
        <v>0</v>
      </c>
      <c r="T15" s="87">
        <v>0</v>
      </c>
    </row>
    <row r="16" spans="1:20" ht="68.25" customHeight="1" x14ac:dyDescent="0.15">
      <c r="A16" s="86" t="s">
        <v>182</v>
      </c>
      <c r="B16" s="85" t="s">
        <v>73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</row>
    <row r="17" spans="1:20" ht="68.25" customHeight="1" x14ac:dyDescent="0.15">
      <c r="A17" s="86" t="s">
        <v>183</v>
      </c>
      <c r="B17" s="85" t="s">
        <v>75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</row>
    <row r="18" spans="1:20" ht="68.25" customHeight="1" x14ac:dyDescent="0.15">
      <c r="A18" s="86" t="s">
        <v>184</v>
      </c>
      <c r="B18" s="85" t="s">
        <v>81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</row>
    <row r="19" spans="1:20" ht="68.25" customHeight="1" x14ac:dyDescent="0.15">
      <c r="A19" s="86" t="s">
        <v>185</v>
      </c>
      <c r="B19" s="85" t="s">
        <v>85</v>
      </c>
      <c r="C19" s="87">
        <f>23854+40507.56</f>
        <v>64361.56</v>
      </c>
      <c r="D19" s="87">
        <v>9.4410625288738448E-2</v>
      </c>
      <c r="E19" s="87">
        <v>40251.81</v>
      </c>
      <c r="F19" s="87">
        <v>0.1039257129342207</v>
      </c>
      <c r="G19" s="87">
        <v>0</v>
      </c>
      <c r="H19" s="87">
        <v>0</v>
      </c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f>23854+255.75</f>
        <v>24109.75</v>
      </c>
      <c r="P19" s="87">
        <v>1.5060559614355925E-2</v>
      </c>
      <c r="Q19" s="87">
        <v>24109.75</v>
      </c>
      <c r="R19" s="87">
        <v>0</v>
      </c>
      <c r="S19" s="87">
        <v>0</v>
      </c>
      <c r="T19" s="87">
        <v>0</v>
      </c>
    </row>
    <row r="20" spans="1:20" ht="68.25" customHeight="1" x14ac:dyDescent="0.15">
      <c r="A20" s="86" t="s">
        <v>186</v>
      </c>
      <c r="B20" s="85" t="s">
        <v>187</v>
      </c>
      <c r="C20" s="87">
        <f>23854</f>
        <v>23854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23854</v>
      </c>
      <c r="P20" s="87">
        <v>0</v>
      </c>
      <c r="Q20" s="87">
        <v>23854</v>
      </c>
      <c r="R20" s="87">
        <v>0</v>
      </c>
      <c r="S20" s="87">
        <v>0</v>
      </c>
      <c r="T20" s="87">
        <v>0</v>
      </c>
    </row>
    <row r="21" spans="1:20" ht="68.25" customHeight="1" x14ac:dyDescent="0.15">
      <c r="A21" s="86" t="s">
        <v>188</v>
      </c>
      <c r="B21" s="85" t="s">
        <v>189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</row>
    <row r="22" spans="1:20" ht="68.25" customHeight="1" x14ac:dyDescent="0.15">
      <c r="A22" s="86" t="s">
        <v>190</v>
      </c>
      <c r="B22" s="85" t="s">
        <v>191</v>
      </c>
      <c r="C22" s="87">
        <v>1006.97</v>
      </c>
      <c r="D22" s="87">
        <v>2.3469364075990001E-3</v>
      </c>
      <c r="E22" s="87">
        <v>1001.22</v>
      </c>
      <c r="F22" s="87">
        <v>2.5850390902670078E-3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5.75</v>
      </c>
      <c r="P22" s="87">
        <v>3.386049571165066E-4</v>
      </c>
      <c r="Q22" s="87">
        <v>0</v>
      </c>
      <c r="R22" s="87">
        <v>0</v>
      </c>
      <c r="S22" s="87">
        <v>0</v>
      </c>
      <c r="T22" s="87">
        <v>0</v>
      </c>
    </row>
    <row r="23" spans="1:20" ht="68.25" customHeight="1" x14ac:dyDescent="0.15">
      <c r="A23" s="86" t="s">
        <v>192</v>
      </c>
      <c r="B23" s="85" t="s">
        <v>193</v>
      </c>
      <c r="C23" s="87">
        <v>31153.68</v>
      </c>
      <c r="D23" s="87">
        <v>7.2609616793637158E-2</v>
      </c>
      <c r="E23" s="87">
        <v>31153.68</v>
      </c>
      <c r="F23" s="87">
        <v>8.0435349479304724E-2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</row>
    <row r="24" spans="1:20" ht="68.25" customHeight="1" x14ac:dyDescent="0.15">
      <c r="A24" s="86" t="s">
        <v>194</v>
      </c>
      <c r="B24" s="85" t="s">
        <v>195</v>
      </c>
      <c r="C24" s="87">
        <v>8096.91</v>
      </c>
      <c r="D24" s="87">
        <v>1.8871399215520245E-2</v>
      </c>
      <c r="E24" s="87">
        <v>8096.91</v>
      </c>
      <c r="F24" s="87">
        <v>2.0905324364648967E-2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</row>
    <row r="25" spans="1:20" ht="68.25" customHeight="1" x14ac:dyDescent="0.15">
      <c r="A25" s="86" t="s">
        <v>196</v>
      </c>
      <c r="B25" s="85" t="s">
        <v>197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</row>
    <row r="26" spans="1:20" ht="68.25" customHeight="1" x14ac:dyDescent="0.15">
      <c r="A26" s="86" t="s">
        <v>198</v>
      </c>
      <c r="B26" s="85" t="s">
        <v>199</v>
      </c>
      <c r="C26" s="87">
        <v>250</v>
      </c>
      <c r="D26" s="87">
        <v>5.826728719820352E-4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250</v>
      </c>
      <c r="P26" s="87">
        <v>1.4721954657239418E-2</v>
      </c>
      <c r="Q26" s="87">
        <v>0</v>
      </c>
      <c r="R26" s="87">
        <v>0</v>
      </c>
      <c r="S26" s="87">
        <v>0</v>
      </c>
      <c r="T26" s="87">
        <v>0</v>
      </c>
    </row>
    <row r="27" spans="1:20" ht="68.25" customHeight="1" x14ac:dyDescent="0.15">
      <c r="A27" s="86" t="s">
        <v>200</v>
      </c>
      <c r="B27" s="85" t="s">
        <v>87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</row>
    <row r="28" spans="1:20" ht="68.25" customHeight="1" x14ac:dyDescent="0.15">
      <c r="A28" s="86" t="s">
        <v>201</v>
      </c>
      <c r="B28" s="85" t="s">
        <v>89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</row>
    <row r="29" spans="1:20" ht="68.25" customHeight="1" x14ac:dyDescent="0.15">
      <c r="A29" s="86" t="s">
        <v>202</v>
      </c>
      <c r="B29" s="85" t="s">
        <v>91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</row>
    <row r="30" spans="1:20" ht="68.25" customHeight="1" x14ac:dyDescent="0.15">
      <c r="A30" s="86" t="s">
        <v>203</v>
      </c>
      <c r="B30" s="85" t="s">
        <v>103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</row>
    <row r="31" spans="1:20" ht="68.25" customHeight="1" x14ac:dyDescent="0.15">
      <c r="A31" s="86" t="s">
        <v>204</v>
      </c>
      <c r="B31" s="85" t="s">
        <v>105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</row>
    <row r="32" spans="1:20" ht="68.25" customHeight="1" x14ac:dyDescent="0.15">
      <c r="A32" s="86" t="s">
        <v>205</v>
      </c>
      <c r="B32" s="85" t="s">
        <v>107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</row>
    <row r="33" spans="1:20" ht="68.25" customHeight="1" x14ac:dyDescent="0.15">
      <c r="A33" s="88" t="s">
        <v>132</v>
      </c>
      <c r="B33" s="89" t="s">
        <v>133</v>
      </c>
      <c r="C33" s="90">
        <f>42905721.55+23854</f>
        <v>42929575.549999997</v>
      </c>
      <c r="D33" s="91" t="s">
        <v>135</v>
      </c>
      <c r="E33" s="90">
        <v>38731329.200000003</v>
      </c>
      <c r="F33" s="91" t="s">
        <v>135</v>
      </c>
      <c r="G33" s="90">
        <v>2476248.2799999998</v>
      </c>
      <c r="H33" s="91" t="s">
        <v>135</v>
      </c>
      <c r="I33" s="90">
        <v>0</v>
      </c>
      <c r="J33" s="91" t="s">
        <v>135</v>
      </c>
      <c r="K33" s="90">
        <v>0</v>
      </c>
      <c r="L33" s="91" t="s">
        <v>135</v>
      </c>
      <c r="M33" s="90">
        <v>0</v>
      </c>
      <c r="N33" s="91" t="s">
        <v>135</v>
      </c>
      <c r="O33" s="90">
        <f>1698144.07+23854</f>
        <v>1721998.07</v>
      </c>
      <c r="P33" s="91" t="s">
        <v>135</v>
      </c>
      <c r="Q33" s="90">
        <v>0</v>
      </c>
      <c r="R33" s="91" t="s">
        <v>135</v>
      </c>
      <c r="S33" s="90">
        <v>0</v>
      </c>
      <c r="T33" s="91" t="s">
        <v>135</v>
      </c>
    </row>
    <row r="34" spans="1:20" ht="20.100000000000001" customHeight="1" x14ac:dyDescent="0.15"/>
    <row r="35" spans="1:20" ht="50.1" customHeight="1" x14ac:dyDescent="0.15">
      <c r="A35" s="92" t="s">
        <v>42</v>
      </c>
      <c r="B35" s="93"/>
      <c r="D35" s="93"/>
      <c r="F35" s="93"/>
    </row>
    <row r="36" spans="1:20" ht="50.1" customHeight="1" x14ac:dyDescent="0.15">
      <c r="B36" s="94" t="s">
        <v>43</v>
      </c>
      <c r="D36" s="94" t="s">
        <v>206</v>
      </c>
      <c r="F36" s="94" t="s">
        <v>44</v>
      </c>
    </row>
    <row r="37" spans="1:20" ht="50.1" customHeight="1" x14ac:dyDescent="0.15">
      <c r="A37" s="92" t="s">
        <v>45</v>
      </c>
      <c r="B37" s="93"/>
      <c r="D37" s="93"/>
      <c r="F37" s="93"/>
    </row>
    <row r="38" spans="1:20" ht="50.1" customHeight="1" x14ac:dyDescent="0.15">
      <c r="B38" s="94" t="s">
        <v>43</v>
      </c>
      <c r="D38" s="94" t="s">
        <v>206</v>
      </c>
      <c r="F38" s="94" t="s">
        <v>44</v>
      </c>
    </row>
  </sheetData>
  <mergeCells count="16">
    <mergeCell ref="A1:T1"/>
    <mergeCell ref="A2:A4"/>
    <mergeCell ref="B2:B4"/>
    <mergeCell ref="C2:C4"/>
    <mergeCell ref="D2:D4"/>
    <mergeCell ref="E2:T2"/>
    <mergeCell ref="E3:E4"/>
    <mergeCell ref="F3:F4"/>
    <mergeCell ref="G3:G4"/>
    <mergeCell ref="H3:H4"/>
    <mergeCell ref="I3:L3"/>
    <mergeCell ref="M3:M4"/>
    <mergeCell ref="N3:N4"/>
    <mergeCell ref="O3:O4"/>
    <mergeCell ref="P3:P4"/>
    <mergeCell ref="Q3:T3"/>
  </mergeCells>
  <phoneticPr fontId="0" type="noConversion"/>
  <pageMargins left="0.4" right="0.4" top="0.4" bottom="0.4" header="0.1" footer="0.1"/>
  <pageSetup paperSize="9" scale="2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7"/>
  <sheetViews>
    <sheetView view="pageBreakPreview" topLeftCell="A25" zoomScale="60" zoomScaleNormal="80" workbookViewId="0">
      <selection activeCell="A54" sqref="A54:XFD54"/>
    </sheetView>
  </sheetViews>
  <sheetFormatPr defaultRowHeight="10.5" x14ac:dyDescent="0.15"/>
  <cols>
    <col min="1" max="1" width="47.7109375" customWidth="1"/>
    <col min="2" max="3" width="17.140625" customWidth="1"/>
    <col min="4" max="8" width="22.85546875" customWidth="1"/>
    <col min="9" max="9" width="47.7109375" customWidth="1"/>
    <col min="10" max="11" width="22.85546875" customWidth="1"/>
  </cols>
  <sheetData>
    <row r="1" spans="1:11" ht="50.1" customHeight="1" x14ac:dyDescent="0.15">
      <c r="A1" s="97" t="s">
        <v>207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30" customHeight="1" x14ac:dyDescent="0.15">
      <c r="A2" s="102" t="s">
        <v>711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30" customHeight="1" x14ac:dyDescent="0.15">
      <c r="K3" s="1" t="s">
        <v>1</v>
      </c>
    </row>
    <row r="4" spans="1:11" ht="30" customHeight="1" x14ac:dyDescent="0.15">
      <c r="J4" s="8" t="s">
        <v>2</v>
      </c>
      <c r="K4" s="81">
        <v>45658</v>
      </c>
    </row>
    <row r="5" spans="1:11" ht="30" customHeight="1" x14ac:dyDescent="0.15">
      <c r="J5" s="8" t="s">
        <v>5</v>
      </c>
      <c r="K5" s="1" t="s">
        <v>6</v>
      </c>
    </row>
    <row r="6" spans="1:11" ht="30" customHeight="1" x14ac:dyDescent="0.15">
      <c r="A6" s="96" t="s">
        <v>3</v>
      </c>
      <c r="B6" s="96"/>
      <c r="C6" s="98" t="s">
        <v>4</v>
      </c>
      <c r="D6" s="98"/>
      <c r="E6" s="98"/>
      <c r="F6" s="98"/>
      <c r="G6" s="98"/>
      <c r="H6" s="98"/>
      <c r="J6" s="8" t="s">
        <v>9</v>
      </c>
      <c r="K6" s="1" t="s">
        <v>10</v>
      </c>
    </row>
    <row r="7" spans="1:11" ht="30" customHeight="1" x14ac:dyDescent="0.15">
      <c r="A7" s="96" t="s">
        <v>50</v>
      </c>
      <c r="B7" s="96"/>
      <c r="C7" s="98" t="s">
        <v>12</v>
      </c>
      <c r="D7" s="98"/>
      <c r="E7" s="98"/>
      <c r="F7" s="98"/>
      <c r="G7" s="98"/>
      <c r="H7" s="98"/>
      <c r="J7" s="8" t="s">
        <v>13</v>
      </c>
      <c r="K7" s="1" t="s">
        <v>14</v>
      </c>
    </row>
    <row r="8" spans="1:11" ht="30" customHeight="1" x14ac:dyDescent="0.15">
      <c r="A8" s="96" t="s">
        <v>15</v>
      </c>
      <c r="B8" s="96"/>
      <c r="C8" s="98" t="s">
        <v>16</v>
      </c>
      <c r="D8" s="98"/>
      <c r="E8" s="98"/>
      <c r="F8" s="98"/>
      <c r="G8" s="98"/>
      <c r="H8" s="98"/>
      <c r="J8" s="8" t="s">
        <v>51</v>
      </c>
      <c r="K8" s="1" t="s">
        <v>18</v>
      </c>
    </row>
    <row r="9" spans="1:11" ht="30" customHeight="1" x14ac:dyDescent="0.15">
      <c r="A9" s="96" t="s">
        <v>19</v>
      </c>
      <c r="B9" s="96"/>
      <c r="C9" s="99"/>
      <c r="D9" s="99"/>
      <c r="E9" s="99"/>
      <c r="F9" s="99"/>
      <c r="G9" s="99"/>
      <c r="H9" s="99"/>
      <c r="J9" s="8" t="s">
        <v>20</v>
      </c>
      <c r="K9" s="1" t="s">
        <v>21</v>
      </c>
    </row>
    <row r="10" spans="1:11" ht="3.75" customHeight="1" x14ac:dyDescent="0.15"/>
    <row r="11" spans="1:11" ht="30" customHeight="1" x14ac:dyDescent="0.15">
      <c r="A11" s="100" t="s">
        <v>208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ht="20.100000000000001" customHeight="1" x14ac:dyDescent="0.15">
      <c r="A12" s="101" t="s">
        <v>209</v>
      </c>
      <c r="B12" s="101" t="s">
        <v>210</v>
      </c>
      <c r="C12" s="101" t="s">
        <v>54</v>
      </c>
      <c r="D12" s="101" t="s">
        <v>211</v>
      </c>
      <c r="E12" s="101"/>
      <c r="F12" s="101"/>
      <c r="G12" s="101" t="s">
        <v>212</v>
      </c>
      <c r="H12" s="101" t="s">
        <v>213</v>
      </c>
      <c r="I12" s="101" t="s">
        <v>214</v>
      </c>
      <c r="J12" s="101"/>
      <c r="K12" s="101"/>
    </row>
    <row r="13" spans="1:11" ht="20.100000000000001" customHeight="1" x14ac:dyDescent="0.15">
      <c r="A13" s="101"/>
      <c r="B13" s="101"/>
      <c r="C13" s="101"/>
      <c r="D13" s="101" t="s">
        <v>215</v>
      </c>
      <c r="E13" s="101"/>
      <c r="F13" s="101" t="s">
        <v>216</v>
      </c>
      <c r="G13" s="101"/>
      <c r="H13" s="101"/>
      <c r="I13" s="101" t="s">
        <v>217</v>
      </c>
      <c r="J13" s="101" t="s">
        <v>218</v>
      </c>
      <c r="K13" s="101" t="s">
        <v>219</v>
      </c>
    </row>
    <row r="14" spans="1:11" ht="20.100000000000001" customHeight="1" x14ac:dyDescent="0.15">
      <c r="A14" s="101"/>
      <c r="B14" s="101"/>
      <c r="C14" s="101"/>
      <c r="D14" s="1" t="s">
        <v>220</v>
      </c>
      <c r="E14" s="1" t="s">
        <v>221</v>
      </c>
      <c r="F14" s="101"/>
      <c r="G14" s="101"/>
      <c r="H14" s="101"/>
      <c r="I14" s="101"/>
      <c r="J14" s="101"/>
      <c r="K14" s="101"/>
    </row>
    <row r="15" spans="1:11" ht="20.100000000000001" customHeight="1" x14ac:dyDescent="0.15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65</v>
      </c>
      <c r="G15" s="1" t="s">
        <v>151</v>
      </c>
      <c r="H15" s="1" t="s">
        <v>152</v>
      </c>
      <c r="I15" s="1" t="s">
        <v>153</v>
      </c>
      <c r="J15" s="1" t="s">
        <v>154</v>
      </c>
      <c r="K15" s="1" t="s">
        <v>155</v>
      </c>
    </row>
    <row r="16" spans="1:11" ht="54.95" customHeight="1" x14ac:dyDescent="0.15">
      <c r="A16" s="2" t="s">
        <v>222</v>
      </c>
      <c r="B16" s="1" t="s">
        <v>223</v>
      </c>
      <c r="C16" s="1" t="s">
        <v>121</v>
      </c>
      <c r="D16" s="1"/>
      <c r="E16" s="1"/>
      <c r="F16" s="48">
        <v>111</v>
      </c>
      <c r="G16" s="48">
        <v>33354</v>
      </c>
      <c r="H16" s="48">
        <v>300.48649</v>
      </c>
      <c r="I16" s="1" t="s">
        <v>224</v>
      </c>
      <c r="J16" s="57" t="s">
        <v>225</v>
      </c>
      <c r="K16" s="57" t="s">
        <v>226</v>
      </c>
    </row>
    <row r="17" spans="1:11" ht="54.95" customHeight="1" x14ac:dyDescent="0.15">
      <c r="A17" s="2" t="s">
        <v>227</v>
      </c>
      <c r="B17" s="1" t="s">
        <v>228</v>
      </c>
      <c r="C17" s="1" t="s">
        <v>123</v>
      </c>
      <c r="D17" s="1"/>
      <c r="E17" s="1"/>
      <c r="F17" s="48">
        <v>157</v>
      </c>
      <c r="G17" s="48">
        <v>45256</v>
      </c>
      <c r="H17" s="48">
        <v>288.25479999999999</v>
      </c>
      <c r="I17" s="1" t="s">
        <v>224</v>
      </c>
      <c r="J17" s="57" t="s">
        <v>225</v>
      </c>
      <c r="K17" s="57" t="s">
        <v>226</v>
      </c>
    </row>
    <row r="18" spans="1:11" ht="54.95" customHeight="1" x14ac:dyDescent="0.15">
      <c r="A18" s="2" t="s">
        <v>229</v>
      </c>
      <c r="B18" s="1" t="s">
        <v>228</v>
      </c>
      <c r="C18" s="1" t="s">
        <v>125</v>
      </c>
      <c r="D18" s="1"/>
      <c r="E18" s="1"/>
      <c r="F18" s="48">
        <v>1035</v>
      </c>
      <c r="G18" s="48">
        <v>242835</v>
      </c>
      <c r="H18" s="48">
        <v>234.62318999999999</v>
      </c>
      <c r="I18" s="1" t="s">
        <v>224</v>
      </c>
      <c r="J18" s="57" t="s">
        <v>225</v>
      </c>
      <c r="K18" s="57" t="s">
        <v>226</v>
      </c>
    </row>
    <row r="19" spans="1:11" ht="54.95" customHeight="1" x14ac:dyDescent="0.15">
      <c r="A19" s="2" t="s">
        <v>230</v>
      </c>
      <c r="B19" s="1" t="s">
        <v>223</v>
      </c>
      <c r="C19" s="1" t="s">
        <v>127</v>
      </c>
      <c r="D19" s="1"/>
      <c r="E19" s="1"/>
      <c r="F19" s="48">
        <v>7</v>
      </c>
      <c r="G19" s="48">
        <v>2240</v>
      </c>
      <c r="H19" s="48">
        <v>320</v>
      </c>
      <c r="I19" s="1" t="s">
        <v>224</v>
      </c>
      <c r="J19" s="57" t="s">
        <v>225</v>
      </c>
      <c r="K19" s="57" t="s">
        <v>226</v>
      </c>
    </row>
    <row r="20" spans="1:11" ht="54.95" customHeight="1" x14ac:dyDescent="0.15">
      <c r="A20" s="2" t="s">
        <v>231</v>
      </c>
      <c r="B20" s="1" t="s">
        <v>223</v>
      </c>
      <c r="C20" s="1" t="s">
        <v>232</v>
      </c>
      <c r="D20" s="1"/>
      <c r="E20" s="1"/>
      <c r="F20" s="48">
        <v>34</v>
      </c>
      <c r="G20" s="48">
        <v>11414</v>
      </c>
      <c r="H20" s="48">
        <v>335.70587999999998</v>
      </c>
      <c r="I20" s="1" t="s">
        <v>224</v>
      </c>
      <c r="J20" s="57" t="s">
        <v>225</v>
      </c>
      <c r="K20" s="57" t="s">
        <v>226</v>
      </c>
    </row>
    <row r="21" spans="1:11" ht="54.95" customHeight="1" x14ac:dyDescent="0.15">
      <c r="A21" s="2" t="s">
        <v>233</v>
      </c>
      <c r="B21" s="1" t="s">
        <v>228</v>
      </c>
      <c r="C21" s="1" t="s">
        <v>234</v>
      </c>
      <c r="D21" s="1"/>
      <c r="E21" s="1"/>
      <c r="F21" s="48">
        <v>208</v>
      </c>
      <c r="G21" s="48">
        <v>6936</v>
      </c>
      <c r="H21" s="48">
        <v>33.346150000000002</v>
      </c>
      <c r="I21" s="1" t="s">
        <v>224</v>
      </c>
      <c r="J21" s="57" t="s">
        <v>225</v>
      </c>
      <c r="K21" s="57" t="s">
        <v>226</v>
      </c>
    </row>
    <row r="22" spans="1:11" ht="54.95" customHeight="1" x14ac:dyDescent="0.15">
      <c r="A22" s="2" t="s">
        <v>235</v>
      </c>
      <c r="B22" s="1" t="s">
        <v>223</v>
      </c>
      <c r="C22" s="1" t="s">
        <v>236</v>
      </c>
      <c r="D22" s="1"/>
      <c r="E22" s="1"/>
      <c r="F22" s="48">
        <v>45</v>
      </c>
      <c r="G22" s="48">
        <v>15303</v>
      </c>
      <c r="H22" s="48">
        <v>340.06666999999999</v>
      </c>
      <c r="I22" s="1" t="s">
        <v>224</v>
      </c>
      <c r="J22" s="57" t="s">
        <v>225</v>
      </c>
      <c r="K22" s="57" t="s">
        <v>226</v>
      </c>
    </row>
    <row r="23" spans="1:11" ht="54.95" customHeight="1" x14ac:dyDescent="0.15">
      <c r="A23" s="2" t="s">
        <v>237</v>
      </c>
      <c r="B23" s="1" t="s">
        <v>223</v>
      </c>
      <c r="C23" s="1" t="s">
        <v>238</v>
      </c>
      <c r="D23" s="1"/>
      <c r="E23" s="1"/>
      <c r="F23" s="48">
        <v>2</v>
      </c>
      <c r="G23" s="48">
        <v>670</v>
      </c>
      <c r="H23" s="48">
        <v>335</v>
      </c>
      <c r="I23" s="1" t="s">
        <v>224</v>
      </c>
      <c r="J23" s="57" t="s">
        <v>225</v>
      </c>
      <c r="K23" s="57" t="s">
        <v>226</v>
      </c>
    </row>
    <row r="24" spans="1:11" ht="54.95" customHeight="1" x14ac:dyDescent="0.15">
      <c r="A24" s="2" t="s">
        <v>239</v>
      </c>
      <c r="B24" s="1" t="s">
        <v>228</v>
      </c>
      <c r="C24" s="1" t="s">
        <v>240</v>
      </c>
      <c r="D24" s="1"/>
      <c r="E24" s="1"/>
      <c r="F24" s="48">
        <v>8</v>
      </c>
      <c r="G24" s="48">
        <v>3760</v>
      </c>
      <c r="H24" s="48">
        <v>470</v>
      </c>
      <c r="I24" s="1" t="s">
        <v>224</v>
      </c>
      <c r="J24" s="57" t="s">
        <v>225</v>
      </c>
      <c r="K24" s="57" t="s">
        <v>226</v>
      </c>
    </row>
    <row r="25" spans="1:11" ht="54.95" customHeight="1" x14ac:dyDescent="0.15">
      <c r="A25" s="2" t="s">
        <v>241</v>
      </c>
      <c r="B25" s="1" t="s">
        <v>228</v>
      </c>
      <c r="C25" s="1" t="s">
        <v>242</v>
      </c>
      <c r="D25" s="1"/>
      <c r="E25" s="1"/>
      <c r="F25" s="48">
        <v>8</v>
      </c>
      <c r="G25" s="48">
        <v>1276</v>
      </c>
      <c r="H25" s="48">
        <v>159.5</v>
      </c>
      <c r="I25" s="1" t="s">
        <v>224</v>
      </c>
      <c r="J25" s="57" t="s">
        <v>225</v>
      </c>
      <c r="K25" s="57" t="s">
        <v>226</v>
      </c>
    </row>
    <row r="26" spans="1:11" ht="54.95" customHeight="1" x14ac:dyDescent="0.15">
      <c r="A26" s="2" t="s">
        <v>243</v>
      </c>
      <c r="B26" s="1" t="s">
        <v>228</v>
      </c>
      <c r="C26" s="1" t="s">
        <v>244</v>
      </c>
      <c r="D26" s="1"/>
      <c r="E26" s="1"/>
      <c r="F26" s="48">
        <v>822</v>
      </c>
      <c r="G26" s="48">
        <v>229007</v>
      </c>
      <c r="H26" s="48">
        <v>278.59732000000002</v>
      </c>
      <c r="I26" s="1" t="s">
        <v>224</v>
      </c>
      <c r="J26" s="57" t="s">
        <v>225</v>
      </c>
      <c r="K26" s="57" t="s">
        <v>226</v>
      </c>
    </row>
    <row r="27" spans="1:11" ht="54.95" customHeight="1" x14ac:dyDescent="0.15">
      <c r="A27" s="2" t="s">
        <v>245</v>
      </c>
      <c r="B27" s="1" t="s">
        <v>223</v>
      </c>
      <c r="C27" s="1" t="s">
        <v>246</v>
      </c>
      <c r="D27" s="1"/>
      <c r="E27" s="1"/>
      <c r="F27" s="48">
        <v>12</v>
      </c>
      <c r="G27" s="48">
        <v>2914</v>
      </c>
      <c r="H27" s="48">
        <v>242.83332999999999</v>
      </c>
      <c r="I27" s="1" t="s">
        <v>224</v>
      </c>
      <c r="J27" s="57" t="s">
        <v>225</v>
      </c>
      <c r="K27" s="57" t="s">
        <v>226</v>
      </c>
    </row>
    <row r="28" spans="1:11" ht="54.95" customHeight="1" x14ac:dyDescent="0.15">
      <c r="A28" s="2" t="s">
        <v>247</v>
      </c>
      <c r="B28" s="1" t="s">
        <v>223</v>
      </c>
      <c r="C28" s="1" t="s">
        <v>248</v>
      </c>
      <c r="D28" s="1"/>
      <c r="E28" s="1"/>
      <c r="F28" s="48">
        <v>29</v>
      </c>
      <c r="G28" s="48">
        <v>9874</v>
      </c>
      <c r="H28" s="48">
        <v>340.48275999999998</v>
      </c>
      <c r="I28" s="1" t="s">
        <v>224</v>
      </c>
      <c r="J28" s="57" t="s">
        <v>225</v>
      </c>
      <c r="K28" s="57" t="s">
        <v>226</v>
      </c>
    </row>
    <row r="29" spans="1:11" ht="54.95" customHeight="1" x14ac:dyDescent="0.15">
      <c r="A29" s="2" t="s">
        <v>249</v>
      </c>
      <c r="B29" s="1" t="s">
        <v>223</v>
      </c>
      <c r="C29" s="1" t="s">
        <v>250</v>
      </c>
      <c r="D29" s="1"/>
      <c r="E29" s="1"/>
      <c r="F29" s="48">
        <v>118</v>
      </c>
      <c r="G29" s="48">
        <v>40371</v>
      </c>
      <c r="H29" s="48">
        <v>342.12711999999999</v>
      </c>
      <c r="I29" s="1" t="s">
        <v>224</v>
      </c>
      <c r="J29" s="57" t="s">
        <v>225</v>
      </c>
      <c r="K29" s="57" t="s">
        <v>226</v>
      </c>
    </row>
    <row r="30" spans="1:11" ht="54.95" customHeight="1" x14ac:dyDescent="0.15">
      <c r="A30" s="2" t="s">
        <v>251</v>
      </c>
      <c r="B30" s="1" t="s">
        <v>223</v>
      </c>
      <c r="C30" s="1" t="s">
        <v>252</v>
      </c>
      <c r="D30" s="1"/>
      <c r="E30" s="1"/>
      <c r="F30" s="48">
        <v>1</v>
      </c>
      <c r="G30" s="48">
        <v>742</v>
      </c>
      <c r="H30" s="48">
        <v>742</v>
      </c>
      <c r="I30" s="1" t="s">
        <v>224</v>
      </c>
      <c r="J30" s="57" t="s">
        <v>225</v>
      </c>
      <c r="K30" s="57" t="s">
        <v>226</v>
      </c>
    </row>
    <row r="31" spans="1:11" ht="54.95" customHeight="1" x14ac:dyDescent="0.15">
      <c r="A31" s="2" t="s">
        <v>253</v>
      </c>
      <c r="B31" s="1" t="s">
        <v>254</v>
      </c>
      <c r="C31" s="1" t="s">
        <v>255</v>
      </c>
      <c r="D31" s="1"/>
      <c r="E31" s="1"/>
      <c r="F31" s="48">
        <v>500</v>
      </c>
      <c r="G31" s="48">
        <v>3500</v>
      </c>
      <c r="H31" s="48">
        <v>7</v>
      </c>
      <c r="I31" s="1" t="s">
        <v>256</v>
      </c>
      <c r="J31" s="57" t="s">
        <v>257</v>
      </c>
      <c r="K31" s="57" t="s">
        <v>258</v>
      </c>
    </row>
    <row r="32" spans="1:11" ht="54.95" customHeight="1" x14ac:dyDescent="0.15">
      <c r="A32" s="2" t="s">
        <v>259</v>
      </c>
      <c r="B32" s="1" t="s">
        <v>223</v>
      </c>
      <c r="C32" s="1" t="s">
        <v>260</v>
      </c>
      <c r="D32" s="1"/>
      <c r="E32" s="1"/>
      <c r="F32" s="48">
        <v>24</v>
      </c>
      <c r="G32" s="48">
        <v>7139</v>
      </c>
      <c r="H32" s="48">
        <v>297.45832999999999</v>
      </c>
      <c r="I32" s="1" t="s">
        <v>224</v>
      </c>
      <c r="J32" s="57" t="s">
        <v>225</v>
      </c>
      <c r="K32" s="57" t="s">
        <v>226</v>
      </c>
    </row>
    <row r="33" spans="1:11" ht="54.95" customHeight="1" x14ac:dyDescent="0.15">
      <c r="A33" s="2" t="s">
        <v>261</v>
      </c>
      <c r="B33" s="1" t="s">
        <v>223</v>
      </c>
      <c r="C33" s="1" t="s">
        <v>262</v>
      </c>
      <c r="D33" s="1"/>
      <c r="E33" s="1"/>
      <c r="F33" s="48">
        <v>93</v>
      </c>
      <c r="G33" s="48">
        <v>26403</v>
      </c>
      <c r="H33" s="48">
        <v>283.90323000000001</v>
      </c>
      <c r="I33" s="1" t="s">
        <v>224</v>
      </c>
      <c r="J33" s="57" t="s">
        <v>225</v>
      </c>
      <c r="K33" s="57" t="s">
        <v>226</v>
      </c>
    </row>
    <row r="34" spans="1:11" ht="20.100000000000001" customHeight="1" x14ac:dyDescent="0.15">
      <c r="B34" s="9" t="s">
        <v>132</v>
      </c>
      <c r="C34" s="12" t="s">
        <v>133</v>
      </c>
      <c r="D34" s="12" t="s">
        <v>134</v>
      </c>
      <c r="E34" s="12" t="s">
        <v>134</v>
      </c>
      <c r="F34" s="47">
        <f>SUM(F16:F33)</f>
        <v>3214</v>
      </c>
      <c r="G34" s="47">
        <f>SUM(G16:G33)</f>
        <v>682994</v>
      </c>
      <c r="H34" s="47">
        <f>SUM(H16:H33)</f>
        <v>5351.3852699999998</v>
      </c>
      <c r="I34" s="12" t="s">
        <v>134</v>
      </c>
      <c r="J34" s="12" t="s">
        <v>134</v>
      </c>
      <c r="K34" s="12" t="s">
        <v>134</v>
      </c>
    </row>
    <row r="35" spans="1:11" ht="6" customHeight="1" x14ac:dyDescent="0.15"/>
    <row r="36" spans="1:11" ht="30" customHeight="1" x14ac:dyDescent="0.15">
      <c r="A36" s="100" t="s">
        <v>263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</row>
    <row r="37" spans="1:11" ht="20.100000000000001" customHeight="1" x14ac:dyDescent="0.15">
      <c r="A37" s="101" t="s">
        <v>264</v>
      </c>
      <c r="B37" s="101" t="s">
        <v>210</v>
      </c>
      <c r="C37" s="101" t="s">
        <v>54</v>
      </c>
      <c r="D37" s="101" t="s">
        <v>265</v>
      </c>
      <c r="E37" s="101"/>
      <c r="F37" s="101"/>
      <c r="G37" s="101" t="s">
        <v>266</v>
      </c>
      <c r="H37" s="101" t="s">
        <v>213</v>
      </c>
      <c r="I37" s="101" t="s">
        <v>214</v>
      </c>
      <c r="J37" s="101"/>
      <c r="K37" s="101"/>
    </row>
    <row r="38" spans="1:11" ht="20.100000000000001" customHeight="1" x14ac:dyDescent="0.15">
      <c r="A38" s="101"/>
      <c r="B38" s="101"/>
      <c r="C38" s="101"/>
      <c r="D38" s="101" t="s">
        <v>215</v>
      </c>
      <c r="E38" s="101"/>
      <c r="F38" s="101" t="s">
        <v>216</v>
      </c>
      <c r="G38" s="101"/>
      <c r="H38" s="101"/>
      <c r="I38" s="101" t="s">
        <v>217</v>
      </c>
      <c r="J38" s="101" t="s">
        <v>218</v>
      </c>
      <c r="K38" s="101" t="s">
        <v>219</v>
      </c>
    </row>
    <row r="39" spans="1:11" ht="20.100000000000001" customHeight="1" x14ac:dyDescent="0.15">
      <c r="A39" s="101"/>
      <c r="B39" s="101"/>
      <c r="C39" s="101"/>
      <c r="D39" s="1" t="s">
        <v>220</v>
      </c>
      <c r="E39" s="1" t="s">
        <v>221</v>
      </c>
      <c r="F39" s="101"/>
      <c r="G39" s="101"/>
      <c r="H39" s="101"/>
      <c r="I39" s="101"/>
      <c r="J39" s="101"/>
      <c r="K39" s="101"/>
    </row>
    <row r="40" spans="1:11" ht="20.100000000000001" customHeight="1" x14ac:dyDescent="0.15">
      <c r="A40" s="1" t="s">
        <v>60</v>
      </c>
      <c r="B40" s="1" t="s">
        <v>61</v>
      </c>
      <c r="C40" s="1" t="s">
        <v>62</v>
      </c>
      <c r="D40" s="1" t="s">
        <v>63</v>
      </c>
      <c r="E40" s="1" t="s">
        <v>64</v>
      </c>
      <c r="F40" s="1" t="s">
        <v>65</v>
      </c>
      <c r="G40" s="1" t="s">
        <v>151</v>
      </c>
      <c r="H40" s="1" t="s">
        <v>152</v>
      </c>
      <c r="I40" s="1" t="s">
        <v>153</v>
      </c>
      <c r="J40" s="1" t="s">
        <v>154</v>
      </c>
      <c r="K40" s="1" t="s">
        <v>155</v>
      </c>
    </row>
    <row r="41" spans="1:11" ht="5.25" customHeight="1" x14ac:dyDescent="0.15"/>
    <row r="42" spans="1:11" ht="30" customHeight="1" x14ac:dyDescent="0.15">
      <c r="A42" s="100" t="s">
        <v>267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</row>
    <row r="43" spans="1:11" ht="20.100000000000001" customHeight="1" x14ac:dyDescent="0.15">
      <c r="A43" s="101" t="s">
        <v>268</v>
      </c>
      <c r="B43" s="101" t="s">
        <v>210</v>
      </c>
      <c r="C43" s="101" t="s">
        <v>54</v>
      </c>
      <c r="D43" s="101" t="s">
        <v>269</v>
      </c>
      <c r="E43" s="101"/>
      <c r="F43" s="101"/>
      <c r="G43" s="101" t="s">
        <v>270</v>
      </c>
      <c r="H43" s="101" t="s">
        <v>213</v>
      </c>
      <c r="I43" s="101" t="s">
        <v>214</v>
      </c>
      <c r="J43" s="101"/>
      <c r="K43" s="101"/>
    </row>
    <row r="44" spans="1:11" ht="20.100000000000001" customHeight="1" x14ac:dyDescent="0.15">
      <c r="A44" s="101"/>
      <c r="B44" s="101"/>
      <c r="C44" s="101"/>
      <c r="D44" s="101" t="s">
        <v>215</v>
      </c>
      <c r="E44" s="101"/>
      <c r="F44" s="101" t="s">
        <v>216</v>
      </c>
      <c r="G44" s="101"/>
      <c r="H44" s="101"/>
      <c r="I44" s="101" t="s">
        <v>217</v>
      </c>
      <c r="J44" s="101" t="s">
        <v>218</v>
      </c>
      <c r="K44" s="101" t="s">
        <v>219</v>
      </c>
    </row>
    <row r="45" spans="1:11" ht="20.100000000000001" customHeight="1" x14ac:dyDescent="0.15">
      <c r="A45" s="101"/>
      <c r="B45" s="101"/>
      <c r="C45" s="101"/>
      <c r="D45" s="1" t="s">
        <v>220</v>
      </c>
      <c r="E45" s="1" t="s">
        <v>221</v>
      </c>
      <c r="F45" s="101"/>
      <c r="G45" s="101"/>
      <c r="H45" s="101"/>
      <c r="I45" s="101"/>
      <c r="J45" s="101"/>
      <c r="K45" s="101"/>
    </row>
    <row r="46" spans="1:11" ht="20.100000000000001" customHeight="1" x14ac:dyDescent="0.15">
      <c r="A46" s="1" t="s">
        <v>60</v>
      </c>
      <c r="B46" s="1" t="s">
        <v>61</v>
      </c>
      <c r="C46" s="1" t="s">
        <v>62</v>
      </c>
      <c r="D46" s="1" t="s">
        <v>63</v>
      </c>
      <c r="E46" s="1" t="s">
        <v>64</v>
      </c>
      <c r="F46" s="1" t="s">
        <v>65</v>
      </c>
      <c r="G46" s="1" t="s">
        <v>151</v>
      </c>
      <c r="H46" s="1" t="s">
        <v>152</v>
      </c>
      <c r="I46" s="1" t="s">
        <v>153</v>
      </c>
      <c r="J46" s="1" t="s">
        <v>154</v>
      </c>
      <c r="K46" s="1" t="s">
        <v>155</v>
      </c>
    </row>
    <row r="47" spans="1:11" ht="54.95" customHeight="1" x14ac:dyDescent="0.15">
      <c r="A47" s="2" t="s">
        <v>271</v>
      </c>
      <c r="B47" s="1" t="s">
        <v>272</v>
      </c>
      <c r="C47" s="1" t="s">
        <v>121</v>
      </c>
      <c r="D47" s="1"/>
      <c r="E47" s="1"/>
      <c r="F47" s="3">
        <v>5023</v>
      </c>
      <c r="G47" s="3">
        <v>148456.76999999999</v>
      </c>
      <c r="H47" s="3">
        <v>29.555399999999999</v>
      </c>
      <c r="I47" s="1" t="s">
        <v>256</v>
      </c>
      <c r="J47" s="1" t="s">
        <v>257</v>
      </c>
      <c r="K47" s="1" t="s">
        <v>258</v>
      </c>
    </row>
    <row r="48" spans="1:11" ht="54.95" customHeight="1" x14ac:dyDescent="0.15">
      <c r="A48" s="2" t="s">
        <v>273</v>
      </c>
      <c r="B48" s="1" t="s">
        <v>272</v>
      </c>
      <c r="C48" s="1" t="s">
        <v>123</v>
      </c>
      <c r="D48" s="1"/>
      <c r="E48" s="1"/>
      <c r="F48" s="3">
        <v>10</v>
      </c>
      <c r="G48" s="3">
        <v>1490</v>
      </c>
      <c r="H48" s="3">
        <v>149</v>
      </c>
      <c r="I48" s="1" t="s">
        <v>256</v>
      </c>
      <c r="J48" s="1" t="s">
        <v>257</v>
      </c>
      <c r="K48" s="1" t="s">
        <v>258</v>
      </c>
    </row>
    <row r="49" spans="1:11" ht="54.95" customHeight="1" x14ac:dyDescent="0.15">
      <c r="A49" s="2" t="s">
        <v>274</v>
      </c>
      <c r="B49" s="1" t="s">
        <v>272</v>
      </c>
      <c r="C49" s="1" t="s">
        <v>125</v>
      </c>
      <c r="D49" s="1"/>
      <c r="E49" s="1"/>
      <c r="F49" s="3">
        <v>10</v>
      </c>
      <c r="G49" s="3">
        <v>295.23</v>
      </c>
      <c r="H49" s="3">
        <v>29.523</v>
      </c>
      <c r="I49" s="1" t="s">
        <v>256</v>
      </c>
      <c r="J49" s="1" t="s">
        <v>257</v>
      </c>
      <c r="K49" s="1" t="s">
        <v>258</v>
      </c>
    </row>
    <row r="50" spans="1:11" ht="54.95" customHeight="1" x14ac:dyDescent="0.15">
      <c r="A50" s="2" t="s">
        <v>275</v>
      </c>
      <c r="B50" s="1" t="s">
        <v>272</v>
      </c>
      <c r="C50" s="1" t="s">
        <v>127</v>
      </c>
      <c r="D50" s="1"/>
      <c r="E50" s="1"/>
      <c r="F50" s="3">
        <v>30000</v>
      </c>
      <c r="G50" s="3">
        <v>886641</v>
      </c>
      <c r="H50" s="3">
        <v>29.5547</v>
      </c>
      <c r="I50" s="1" t="s">
        <v>256</v>
      </c>
      <c r="J50" s="1" t="s">
        <v>257</v>
      </c>
      <c r="K50" s="1" t="s">
        <v>258</v>
      </c>
    </row>
    <row r="51" spans="1:11" ht="20.100000000000001" customHeight="1" x14ac:dyDescent="0.15">
      <c r="B51" s="9" t="s">
        <v>132</v>
      </c>
      <c r="C51" s="12" t="s">
        <v>133</v>
      </c>
      <c r="D51" s="12" t="s">
        <v>134</v>
      </c>
      <c r="E51" s="12" t="s">
        <v>134</v>
      </c>
      <c r="F51" s="10">
        <f>SUM(F47:F50)</f>
        <v>35043</v>
      </c>
      <c r="G51" s="10">
        <f>SUM(G47:G50)</f>
        <v>1036883</v>
      </c>
      <c r="H51" s="10">
        <f>SUM(H47:H50)</f>
        <v>237.63309999999998</v>
      </c>
      <c r="I51" s="12" t="s">
        <v>134</v>
      </c>
      <c r="J51" s="12" t="s">
        <v>134</v>
      </c>
      <c r="K51" s="12" t="s">
        <v>134</v>
      </c>
    </row>
    <row r="52" spans="1:11" ht="2.25" customHeight="1" x14ac:dyDescent="0.15"/>
    <row r="53" spans="1:11" ht="39.950000000000003" customHeight="1" x14ac:dyDescent="0.15">
      <c r="A53" s="5" t="s">
        <v>42</v>
      </c>
      <c r="B53" s="7"/>
      <c r="D53" s="7"/>
      <c r="F53" s="7"/>
    </row>
    <row r="54" spans="1:11" ht="6" customHeight="1" x14ac:dyDescent="0.15">
      <c r="B54" s="6" t="s">
        <v>43</v>
      </c>
      <c r="D54" s="6" t="s">
        <v>206</v>
      </c>
      <c r="F54" s="6" t="s">
        <v>44</v>
      </c>
    </row>
    <row r="55" spans="1:11" ht="39.950000000000003" customHeight="1" x14ac:dyDescent="0.15">
      <c r="A55" s="5" t="s">
        <v>45</v>
      </c>
      <c r="B55" s="7"/>
      <c r="D55" s="7"/>
      <c r="F55" s="7"/>
    </row>
    <row r="56" spans="1:11" ht="4.5" customHeight="1" x14ac:dyDescent="0.15">
      <c r="B56" s="6" t="s">
        <v>43</v>
      </c>
      <c r="D56" s="6" t="s">
        <v>276</v>
      </c>
      <c r="F56" s="6" t="s">
        <v>46</v>
      </c>
    </row>
    <row r="57" spans="1:11" ht="20.100000000000001" customHeight="1" x14ac:dyDescent="0.15">
      <c r="A57" s="96" t="s">
        <v>47</v>
      </c>
      <c r="B57" s="96"/>
    </row>
  </sheetData>
  <mergeCells count="50">
    <mergeCell ref="A1:K1"/>
    <mergeCell ref="A2:K2"/>
    <mergeCell ref="A6:B6"/>
    <mergeCell ref="C6:H6"/>
    <mergeCell ref="A7:B7"/>
    <mergeCell ref="C7:H7"/>
    <mergeCell ref="A8:B8"/>
    <mergeCell ref="C8:H8"/>
    <mergeCell ref="A9:B9"/>
    <mergeCell ref="C9:H9"/>
    <mergeCell ref="A11:K11"/>
    <mergeCell ref="A12:A14"/>
    <mergeCell ref="B12:B14"/>
    <mergeCell ref="C12:C14"/>
    <mergeCell ref="D12:F12"/>
    <mergeCell ref="G12:G14"/>
    <mergeCell ref="H12:H14"/>
    <mergeCell ref="I12:K12"/>
    <mergeCell ref="D13:E13"/>
    <mergeCell ref="F13:F14"/>
    <mergeCell ref="I13:I14"/>
    <mergeCell ref="J13:J14"/>
    <mergeCell ref="K13:K14"/>
    <mergeCell ref="A36:K36"/>
    <mergeCell ref="A37:A39"/>
    <mergeCell ref="B37:B39"/>
    <mergeCell ref="C37:C39"/>
    <mergeCell ref="D37:F37"/>
    <mergeCell ref="G37:G39"/>
    <mergeCell ref="H37:H39"/>
    <mergeCell ref="I37:K37"/>
    <mergeCell ref="D38:E38"/>
    <mergeCell ref="F38:F39"/>
    <mergeCell ref="I38:I39"/>
    <mergeCell ref="J38:J39"/>
    <mergeCell ref="K38:K39"/>
    <mergeCell ref="A57:B57"/>
    <mergeCell ref="A42:K42"/>
    <mergeCell ref="A43:A45"/>
    <mergeCell ref="B43:B45"/>
    <mergeCell ref="C43:C45"/>
    <mergeCell ref="D43:F43"/>
    <mergeCell ref="G43:G45"/>
    <mergeCell ref="H43:H45"/>
    <mergeCell ref="I43:K43"/>
    <mergeCell ref="D44:E44"/>
    <mergeCell ref="F44:F45"/>
    <mergeCell ref="I44:I45"/>
    <mergeCell ref="J44:J45"/>
    <mergeCell ref="K44:K45"/>
  </mergeCells>
  <phoneticPr fontId="0" type="noConversion"/>
  <pageMargins left="0.4" right="0.4" top="0.4" bottom="0.4" header="0.1" footer="0.1"/>
  <pageSetup paperSize="9" scale="52" fitToHeight="0" orientation="landscape" r:id="rId1"/>
  <rowBreaks count="1" manualBreakCount="1">
    <brk id="25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zoomScale="80" zoomScaleNormal="80" workbookViewId="0">
      <selection sqref="A1:XFD1048576"/>
    </sheetView>
  </sheetViews>
  <sheetFormatPr defaultRowHeight="15" x14ac:dyDescent="0.15"/>
  <cols>
    <col min="1" max="4" width="28.7109375" style="58" customWidth="1"/>
    <col min="5" max="5" width="57.28515625" style="58" customWidth="1"/>
    <col min="6" max="13" width="28.7109375" style="58" customWidth="1"/>
    <col min="14" max="16384" width="9.140625" style="58"/>
  </cols>
  <sheetData>
    <row r="1" spans="1:13" ht="50.1" customHeight="1" x14ac:dyDescent="0.15">
      <c r="A1" s="109" t="s">
        <v>277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30" customHeight="1" x14ac:dyDescent="0.15">
      <c r="A2" s="108" t="s">
        <v>711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30" customHeight="1" x14ac:dyDescent="0.15">
      <c r="M3" s="57" t="s">
        <v>1</v>
      </c>
    </row>
    <row r="4" spans="1:13" ht="30" customHeight="1" x14ac:dyDescent="0.15">
      <c r="L4" s="60" t="s">
        <v>2</v>
      </c>
      <c r="M4" s="57" t="s">
        <v>49</v>
      </c>
    </row>
    <row r="5" spans="1:13" ht="30" customHeight="1" x14ac:dyDescent="0.15">
      <c r="L5" s="60" t="s">
        <v>5</v>
      </c>
      <c r="M5" s="57" t="s">
        <v>6</v>
      </c>
    </row>
    <row r="6" spans="1:13" ht="30" customHeight="1" x14ac:dyDescent="0.15">
      <c r="A6" s="106" t="s">
        <v>3</v>
      </c>
      <c r="B6" s="106"/>
      <c r="C6" s="107" t="s">
        <v>4</v>
      </c>
      <c r="D6" s="107"/>
      <c r="E6" s="107"/>
      <c r="F6" s="107"/>
      <c r="G6" s="107"/>
      <c r="H6" s="107"/>
      <c r="I6" s="107"/>
      <c r="J6" s="107"/>
      <c r="L6" s="60" t="s">
        <v>9</v>
      </c>
      <c r="M6" s="57" t="s">
        <v>10</v>
      </c>
    </row>
    <row r="7" spans="1:13" ht="30" customHeight="1" x14ac:dyDescent="0.15">
      <c r="A7" s="106" t="s">
        <v>50</v>
      </c>
      <c r="B7" s="106"/>
      <c r="C7" s="107" t="s">
        <v>12</v>
      </c>
      <c r="D7" s="107"/>
      <c r="E7" s="107"/>
      <c r="F7" s="107"/>
      <c r="G7" s="107"/>
      <c r="H7" s="107"/>
      <c r="I7" s="107"/>
      <c r="J7" s="107"/>
      <c r="L7" s="60" t="s">
        <v>13</v>
      </c>
      <c r="M7" s="57" t="s">
        <v>14</v>
      </c>
    </row>
    <row r="8" spans="1:13" ht="30" customHeight="1" x14ac:dyDescent="0.15">
      <c r="A8" s="106" t="s">
        <v>15</v>
      </c>
      <c r="B8" s="106"/>
      <c r="C8" s="107" t="s">
        <v>16</v>
      </c>
      <c r="D8" s="107"/>
      <c r="E8" s="107"/>
      <c r="F8" s="107"/>
      <c r="G8" s="107"/>
      <c r="H8" s="107"/>
      <c r="I8" s="107"/>
      <c r="J8" s="107"/>
      <c r="L8" s="60" t="s">
        <v>51</v>
      </c>
      <c r="M8" s="57" t="s">
        <v>18</v>
      </c>
    </row>
    <row r="9" spans="1:13" ht="30" customHeight="1" x14ac:dyDescent="0.15">
      <c r="A9" s="106" t="s">
        <v>19</v>
      </c>
      <c r="B9" s="106"/>
      <c r="C9" s="108"/>
      <c r="D9" s="108"/>
      <c r="E9" s="108"/>
      <c r="F9" s="108"/>
      <c r="G9" s="108"/>
      <c r="H9" s="108"/>
      <c r="I9" s="108"/>
      <c r="J9" s="108"/>
      <c r="L9" s="60" t="s">
        <v>20</v>
      </c>
      <c r="M9" s="57" t="s">
        <v>21</v>
      </c>
    </row>
    <row r="10" spans="1:13" ht="30" customHeight="1" x14ac:dyDescent="0.15"/>
    <row r="11" spans="1:13" ht="39.950000000000003" customHeight="1" x14ac:dyDescent="0.15">
      <c r="A11" s="105" t="s">
        <v>278</v>
      </c>
      <c r="B11" s="105"/>
      <c r="C11" s="105"/>
      <c r="D11" s="105"/>
      <c r="E11" s="105"/>
      <c r="F11" s="105" t="s">
        <v>54</v>
      </c>
      <c r="G11" s="105" t="s">
        <v>279</v>
      </c>
      <c r="H11" s="105" t="s">
        <v>280</v>
      </c>
      <c r="I11" s="105" t="s">
        <v>281</v>
      </c>
      <c r="J11" s="105" t="s">
        <v>282</v>
      </c>
      <c r="K11" s="105" t="s">
        <v>283</v>
      </c>
      <c r="L11" s="105"/>
      <c r="M11" s="105" t="s">
        <v>284</v>
      </c>
    </row>
    <row r="12" spans="1:13" ht="20.100000000000001" customHeight="1" x14ac:dyDescent="0.15">
      <c r="A12" s="57" t="s">
        <v>220</v>
      </c>
      <c r="B12" s="57" t="s">
        <v>9</v>
      </c>
      <c r="C12" s="57" t="s">
        <v>285</v>
      </c>
      <c r="D12" s="57" t="s">
        <v>286</v>
      </c>
      <c r="E12" s="57" t="s">
        <v>287</v>
      </c>
      <c r="F12" s="105"/>
      <c r="G12" s="105"/>
      <c r="H12" s="105"/>
      <c r="I12" s="105"/>
      <c r="J12" s="105"/>
      <c r="K12" s="57" t="s">
        <v>288</v>
      </c>
      <c r="L12" s="57" t="s">
        <v>289</v>
      </c>
      <c r="M12" s="105"/>
    </row>
    <row r="13" spans="1:13" ht="20.100000000000001" customHeight="1" x14ac:dyDescent="0.15">
      <c r="A13" s="57" t="s">
        <v>60</v>
      </c>
      <c r="B13" s="57" t="s">
        <v>61</v>
      </c>
      <c r="C13" s="57" t="s">
        <v>62</v>
      </c>
      <c r="D13" s="57" t="s">
        <v>63</v>
      </c>
      <c r="E13" s="57" t="s">
        <v>64</v>
      </c>
      <c r="F13" s="57" t="s">
        <v>65</v>
      </c>
      <c r="G13" s="57" t="s">
        <v>151</v>
      </c>
      <c r="H13" s="57" t="s">
        <v>152</v>
      </c>
      <c r="I13" s="57" t="s">
        <v>153</v>
      </c>
      <c r="J13" s="57" t="s">
        <v>154</v>
      </c>
      <c r="K13" s="57" t="s">
        <v>155</v>
      </c>
      <c r="L13" s="57" t="s">
        <v>156</v>
      </c>
      <c r="M13" s="57" t="s">
        <v>157</v>
      </c>
    </row>
    <row r="14" spans="1:13" ht="15" customHeight="1" x14ac:dyDescent="0.15"/>
    <row r="15" spans="1:13" ht="39.950000000000003" customHeight="1" x14ac:dyDescent="0.15">
      <c r="A15" s="61" t="s">
        <v>42</v>
      </c>
      <c r="B15" s="62"/>
      <c r="D15" s="62"/>
      <c r="F15" s="62"/>
    </row>
    <row r="16" spans="1:13" ht="20.100000000000001" customHeight="1" x14ac:dyDescent="0.15">
      <c r="B16" s="59" t="s">
        <v>43</v>
      </c>
      <c r="D16" s="59" t="s">
        <v>206</v>
      </c>
      <c r="F16" s="59" t="s">
        <v>44</v>
      </c>
    </row>
    <row r="17" spans="1:6" ht="39.950000000000003" customHeight="1" x14ac:dyDescent="0.15">
      <c r="A17" s="61" t="s">
        <v>45</v>
      </c>
      <c r="B17" s="62"/>
      <c r="D17" s="62"/>
      <c r="F17" s="62"/>
    </row>
    <row r="18" spans="1:6" ht="20.100000000000001" customHeight="1" x14ac:dyDescent="0.15">
      <c r="B18" s="59" t="s">
        <v>43</v>
      </c>
      <c r="D18" s="59" t="s">
        <v>276</v>
      </c>
      <c r="F18" s="59" t="s">
        <v>46</v>
      </c>
    </row>
    <row r="19" spans="1:6" ht="20.100000000000001" customHeight="1" x14ac:dyDescent="0.15">
      <c r="A19" s="106" t="s">
        <v>47</v>
      </c>
      <c r="B19" s="106"/>
    </row>
  </sheetData>
  <mergeCells count="19">
    <mergeCell ref="A1:M1"/>
    <mergeCell ref="A2:M2"/>
    <mergeCell ref="A6:B6"/>
    <mergeCell ref="C6:J6"/>
    <mergeCell ref="A7:B7"/>
    <mergeCell ref="C7:J7"/>
    <mergeCell ref="K11:L11"/>
    <mergeCell ref="M11:M12"/>
    <mergeCell ref="A19:B19"/>
    <mergeCell ref="A8:B8"/>
    <mergeCell ref="C8:J8"/>
    <mergeCell ref="A9:B9"/>
    <mergeCell ref="C9:J9"/>
    <mergeCell ref="A11:E11"/>
    <mergeCell ref="F11:F12"/>
    <mergeCell ref="G11:G12"/>
    <mergeCell ref="H11:H12"/>
    <mergeCell ref="I11:I12"/>
    <mergeCell ref="J11:J12"/>
  </mergeCells>
  <phoneticPr fontId="0" type="noConversion"/>
  <pageMargins left="0.4" right="0.4" top="0.4" bottom="0.4" header="0.1" footer="0.1"/>
  <pageSetup paperSize="9"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35"/>
  <sheetViews>
    <sheetView topLeftCell="E1" zoomScale="70" zoomScaleNormal="70" workbookViewId="0">
      <selection activeCell="M15" sqref="M15"/>
    </sheetView>
  </sheetViews>
  <sheetFormatPr defaultRowHeight="15" x14ac:dyDescent="0.15"/>
  <cols>
    <col min="1" max="1" width="47.7109375" style="58" customWidth="1"/>
    <col min="2" max="16" width="26.7109375" style="58" customWidth="1"/>
    <col min="17" max="16384" width="9.140625" style="58"/>
  </cols>
  <sheetData>
    <row r="1" spans="1:16" ht="50.1" customHeight="1" x14ac:dyDescent="0.15">
      <c r="A1" s="109" t="s">
        <v>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6" ht="30" customHeight="1" x14ac:dyDescent="0.15">
      <c r="A2" s="108" t="s">
        <v>711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ht="30" customHeight="1" x14ac:dyDescent="0.15">
      <c r="P3" s="57" t="s">
        <v>1</v>
      </c>
    </row>
    <row r="4" spans="1:16" ht="30" customHeight="1" x14ac:dyDescent="0.15">
      <c r="O4" s="60" t="s">
        <v>2</v>
      </c>
      <c r="P4" s="57" t="s">
        <v>49</v>
      </c>
    </row>
    <row r="5" spans="1:16" ht="30" customHeight="1" x14ac:dyDescent="0.15">
      <c r="O5" s="60" t="s">
        <v>5</v>
      </c>
      <c r="P5" s="57" t="s">
        <v>6</v>
      </c>
    </row>
    <row r="6" spans="1:16" ht="30" customHeight="1" x14ac:dyDescent="0.15">
      <c r="A6" s="106" t="s">
        <v>3</v>
      </c>
      <c r="B6" s="106"/>
      <c r="C6" s="106"/>
      <c r="D6" s="107" t="s">
        <v>4</v>
      </c>
      <c r="E6" s="107"/>
      <c r="F6" s="107"/>
      <c r="G6" s="107"/>
      <c r="H6" s="107"/>
      <c r="I6" s="107"/>
      <c r="J6" s="107"/>
      <c r="K6" s="107"/>
      <c r="L6" s="107"/>
      <c r="M6" s="107"/>
      <c r="O6" s="60" t="s">
        <v>9</v>
      </c>
      <c r="P6" s="57" t="s">
        <v>10</v>
      </c>
    </row>
    <row r="7" spans="1:16" ht="30" customHeight="1" x14ac:dyDescent="0.15">
      <c r="A7" s="106" t="s">
        <v>50</v>
      </c>
      <c r="B7" s="106"/>
      <c r="C7" s="106"/>
      <c r="D7" s="107" t="s">
        <v>12</v>
      </c>
      <c r="E7" s="107"/>
      <c r="F7" s="107"/>
      <c r="G7" s="107"/>
      <c r="H7" s="107"/>
      <c r="I7" s="107"/>
      <c r="J7" s="107"/>
      <c r="K7" s="107"/>
      <c r="L7" s="107"/>
      <c r="M7" s="107"/>
      <c r="O7" s="60" t="s">
        <v>13</v>
      </c>
      <c r="P7" s="57" t="s">
        <v>14</v>
      </c>
    </row>
    <row r="8" spans="1:16" ht="30" customHeight="1" x14ac:dyDescent="0.15">
      <c r="A8" s="106" t="s">
        <v>15</v>
      </c>
      <c r="B8" s="106"/>
      <c r="C8" s="106"/>
      <c r="D8" s="107" t="s">
        <v>16</v>
      </c>
      <c r="E8" s="107"/>
      <c r="F8" s="107"/>
      <c r="G8" s="107"/>
      <c r="H8" s="107"/>
      <c r="I8" s="107"/>
      <c r="J8" s="107"/>
      <c r="K8" s="107"/>
      <c r="L8" s="107"/>
      <c r="M8" s="107"/>
      <c r="O8" s="60" t="s">
        <v>51</v>
      </c>
      <c r="P8" s="57" t="s">
        <v>18</v>
      </c>
    </row>
    <row r="9" spans="1:16" ht="30" customHeight="1" x14ac:dyDescent="0.15">
      <c r="A9" s="106" t="s">
        <v>19</v>
      </c>
      <c r="B9" s="106"/>
      <c r="C9" s="106"/>
      <c r="D9" s="108"/>
      <c r="E9" s="108"/>
      <c r="F9" s="108"/>
      <c r="G9" s="108"/>
      <c r="H9" s="108"/>
      <c r="I9" s="108"/>
      <c r="J9" s="108"/>
      <c r="K9" s="108"/>
      <c r="L9" s="108"/>
      <c r="M9" s="108"/>
      <c r="O9" s="60" t="s">
        <v>20</v>
      </c>
      <c r="P9" s="57" t="s">
        <v>21</v>
      </c>
    </row>
    <row r="10" spans="1:16" ht="30" customHeight="1" x14ac:dyDescent="0.15"/>
    <row r="11" spans="1:16" ht="39.950000000000003" customHeight="1" x14ac:dyDescent="0.15">
      <c r="A11" s="105" t="s">
        <v>53</v>
      </c>
      <c r="B11" s="105" t="s">
        <v>54</v>
      </c>
      <c r="C11" s="105" t="s">
        <v>290</v>
      </c>
      <c r="D11" s="105"/>
      <c r="E11" s="105" t="s">
        <v>291</v>
      </c>
      <c r="F11" s="105"/>
      <c r="G11" s="105"/>
      <c r="H11" s="105"/>
      <c r="I11" s="105"/>
      <c r="J11" s="105"/>
      <c r="K11" s="105"/>
      <c r="L11" s="105" t="s">
        <v>292</v>
      </c>
      <c r="M11" s="105"/>
      <c r="N11" s="105"/>
      <c r="O11" s="105"/>
      <c r="P11" s="105"/>
    </row>
    <row r="12" spans="1:16" ht="39.950000000000003" customHeight="1" x14ac:dyDescent="0.15">
      <c r="A12" s="105"/>
      <c r="B12" s="105"/>
      <c r="C12" s="105" t="s">
        <v>216</v>
      </c>
      <c r="D12" s="105" t="s">
        <v>293</v>
      </c>
      <c r="E12" s="105" t="s">
        <v>216</v>
      </c>
      <c r="F12" s="105" t="s">
        <v>294</v>
      </c>
      <c r="G12" s="105"/>
      <c r="H12" s="105"/>
      <c r="I12" s="105"/>
      <c r="J12" s="105"/>
      <c r="K12" s="105"/>
      <c r="L12" s="105" t="s">
        <v>216</v>
      </c>
      <c r="M12" s="105" t="s">
        <v>295</v>
      </c>
      <c r="N12" s="105"/>
      <c r="O12" s="105"/>
      <c r="P12" s="105"/>
    </row>
    <row r="13" spans="1:16" ht="39.950000000000003" customHeight="1" x14ac:dyDescent="0.15">
      <c r="A13" s="105"/>
      <c r="B13" s="105"/>
      <c r="C13" s="105"/>
      <c r="D13" s="105"/>
      <c r="E13" s="105"/>
      <c r="F13" s="57" t="s">
        <v>296</v>
      </c>
      <c r="G13" s="57" t="s">
        <v>297</v>
      </c>
      <c r="H13" s="57" t="s">
        <v>298</v>
      </c>
      <c r="I13" s="57" t="s">
        <v>299</v>
      </c>
      <c r="J13" s="57" t="s">
        <v>300</v>
      </c>
      <c r="K13" s="57" t="s">
        <v>301</v>
      </c>
      <c r="L13" s="105"/>
      <c r="M13" s="57" t="s">
        <v>302</v>
      </c>
      <c r="N13" s="57" t="s">
        <v>303</v>
      </c>
      <c r="O13" s="57" t="s">
        <v>304</v>
      </c>
      <c r="P13" s="57" t="s">
        <v>305</v>
      </c>
    </row>
    <row r="14" spans="1:16" ht="20.100000000000001" customHeight="1" x14ac:dyDescent="0.15">
      <c r="A14" s="57" t="s">
        <v>60</v>
      </c>
      <c r="B14" s="57" t="s">
        <v>61</v>
      </c>
      <c r="C14" s="57" t="s">
        <v>62</v>
      </c>
      <c r="D14" s="57" t="s">
        <v>63</v>
      </c>
      <c r="E14" s="57" t="s">
        <v>64</v>
      </c>
      <c r="F14" s="57" t="s">
        <v>65</v>
      </c>
      <c r="G14" s="57" t="s">
        <v>151</v>
      </c>
      <c r="H14" s="57" t="s">
        <v>152</v>
      </c>
      <c r="I14" s="57" t="s">
        <v>153</v>
      </c>
      <c r="J14" s="57" t="s">
        <v>154</v>
      </c>
      <c r="K14" s="57" t="s">
        <v>155</v>
      </c>
      <c r="L14" s="57" t="s">
        <v>156</v>
      </c>
      <c r="M14" s="57" t="s">
        <v>157</v>
      </c>
      <c r="N14" s="57" t="s">
        <v>158</v>
      </c>
      <c r="O14" s="57" t="s">
        <v>159</v>
      </c>
      <c r="P14" s="57" t="s">
        <v>160</v>
      </c>
    </row>
    <row r="15" spans="1:16" ht="54.95" customHeight="1" x14ac:dyDescent="0.15">
      <c r="A15" s="63" t="s">
        <v>306</v>
      </c>
      <c r="B15" s="57" t="s">
        <v>121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27">
        <v>79885</v>
      </c>
      <c r="N15" s="48">
        <v>0</v>
      </c>
      <c r="O15" s="48">
        <v>0</v>
      </c>
      <c r="P15" s="48">
        <v>0</v>
      </c>
    </row>
    <row r="16" spans="1:16" ht="54.95" customHeight="1" x14ac:dyDescent="0.15">
      <c r="A16" s="63" t="s">
        <v>307</v>
      </c>
      <c r="B16" s="57" t="s">
        <v>244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</row>
    <row r="17" spans="1:16" ht="54.95" customHeight="1" x14ac:dyDescent="0.15">
      <c r="A17" s="63" t="s">
        <v>308</v>
      </c>
      <c r="B17" s="57" t="s">
        <v>309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</row>
    <row r="18" spans="1:16" ht="54.95" customHeight="1" x14ac:dyDescent="0.15">
      <c r="A18" s="63" t="s">
        <v>310</v>
      </c>
      <c r="B18" s="57" t="s">
        <v>311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</row>
    <row r="19" spans="1:16" ht="54.95" customHeight="1" x14ac:dyDescent="0.15">
      <c r="A19" s="63" t="s">
        <v>312</v>
      </c>
      <c r="B19" s="57" t="s">
        <v>313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</row>
    <row r="20" spans="1:16" ht="54.95" customHeight="1" x14ac:dyDescent="0.15">
      <c r="A20" s="63" t="s">
        <v>314</v>
      </c>
      <c r="B20" s="57" t="s">
        <v>315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</row>
    <row r="21" spans="1:16" ht="54.95" customHeight="1" x14ac:dyDescent="0.15">
      <c r="A21" s="63" t="s">
        <v>316</v>
      </c>
      <c r="B21" s="57" t="s">
        <v>317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</row>
    <row r="22" spans="1:16" ht="54.95" customHeight="1" x14ac:dyDescent="0.15">
      <c r="A22" s="63" t="s">
        <v>318</v>
      </c>
      <c r="B22" s="57" t="s">
        <v>319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</row>
    <row r="23" spans="1:16" ht="54.95" customHeight="1" x14ac:dyDescent="0.15">
      <c r="A23" s="63" t="s">
        <v>320</v>
      </c>
      <c r="B23" s="57" t="s">
        <v>321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</row>
    <row r="24" spans="1:16" ht="54.95" customHeight="1" x14ac:dyDescent="0.15">
      <c r="A24" s="63" t="s">
        <v>322</v>
      </c>
      <c r="B24" s="57" t="s">
        <v>323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</row>
    <row r="25" spans="1:16" ht="54.95" customHeight="1" x14ac:dyDescent="0.15">
      <c r="A25" s="63" t="s">
        <v>324</v>
      </c>
      <c r="B25" s="57" t="s">
        <v>325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</row>
    <row r="26" spans="1:16" ht="54.95" customHeight="1" x14ac:dyDescent="0.15">
      <c r="A26" s="63" t="s">
        <v>326</v>
      </c>
      <c r="B26" s="57" t="s">
        <v>327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</row>
    <row r="27" spans="1:16" ht="54.95" customHeight="1" x14ac:dyDescent="0.15">
      <c r="A27" s="63" t="s">
        <v>328</v>
      </c>
      <c r="B27" s="57" t="s">
        <v>329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</row>
    <row r="28" spans="1:16" ht="54.95" customHeight="1" x14ac:dyDescent="0.15">
      <c r="A28" s="63" t="s">
        <v>330</v>
      </c>
      <c r="B28" s="57" t="s">
        <v>331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</row>
    <row r="29" spans="1:16" ht="20.100000000000001" customHeight="1" x14ac:dyDescent="0.15">
      <c r="A29" s="64" t="s">
        <v>132</v>
      </c>
      <c r="B29" s="65" t="s">
        <v>133</v>
      </c>
      <c r="C29" s="47">
        <v>0</v>
      </c>
      <c r="D29" s="65" t="s">
        <v>134</v>
      </c>
      <c r="E29" s="65" t="s">
        <v>134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/>
      <c r="L29" s="47">
        <v>0</v>
      </c>
      <c r="M29" s="25">
        <v>79885</v>
      </c>
      <c r="N29" s="47">
        <v>0</v>
      </c>
      <c r="O29" s="47">
        <v>0</v>
      </c>
      <c r="P29" s="47">
        <v>0</v>
      </c>
    </row>
    <row r="30" spans="1:16" ht="15" customHeight="1" x14ac:dyDescent="0.15"/>
    <row r="31" spans="1:16" ht="39.950000000000003" customHeight="1" x14ac:dyDescent="0.15">
      <c r="A31" s="61" t="s">
        <v>42</v>
      </c>
      <c r="B31" s="62"/>
      <c r="D31" s="62"/>
      <c r="F31" s="62"/>
    </row>
    <row r="32" spans="1:16" ht="20.100000000000001" customHeight="1" x14ac:dyDescent="0.15">
      <c r="B32" s="59" t="s">
        <v>43</v>
      </c>
      <c r="D32" s="59" t="s">
        <v>206</v>
      </c>
      <c r="F32" s="59" t="s">
        <v>44</v>
      </c>
    </row>
    <row r="33" spans="1:6" ht="39.950000000000003" customHeight="1" x14ac:dyDescent="0.15">
      <c r="A33" s="61" t="s">
        <v>45</v>
      </c>
      <c r="B33" s="62"/>
      <c r="D33" s="62"/>
      <c r="F33" s="62"/>
    </row>
    <row r="34" spans="1:6" ht="20.100000000000001" customHeight="1" x14ac:dyDescent="0.15">
      <c r="B34" s="59" t="s">
        <v>43</v>
      </c>
      <c r="D34" s="59" t="s">
        <v>276</v>
      </c>
      <c r="F34" s="59" t="s">
        <v>46</v>
      </c>
    </row>
    <row r="35" spans="1:6" ht="20.100000000000001" customHeight="1" x14ac:dyDescent="0.15">
      <c r="A35" s="106" t="s">
        <v>47</v>
      </c>
      <c r="B35" s="106"/>
    </row>
  </sheetData>
  <mergeCells count="22">
    <mergeCell ref="A1:P1"/>
    <mergeCell ref="A2:P2"/>
    <mergeCell ref="A6:C6"/>
    <mergeCell ref="D6:M6"/>
    <mergeCell ref="A7:C7"/>
    <mergeCell ref="D7:M7"/>
    <mergeCell ref="A35:B35"/>
    <mergeCell ref="A8:C8"/>
    <mergeCell ref="D8:M8"/>
    <mergeCell ref="A9:C9"/>
    <mergeCell ref="D9:M9"/>
    <mergeCell ref="A11:A13"/>
    <mergeCell ref="B11:B13"/>
    <mergeCell ref="C11:D11"/>
    <mergeCell ref="E11:K11"/>
    <mergeCell ref="L11:P11"/>
    <mergeCell ref="C12:C13"/>
    <mergeCell ref="D12:D13"/>
    <mergeCell ref="E12:E13"/>
    <mergeCell ref="F12:K12"/>
    <mergeCell ref="L12:L13"/>
    <mergeCell ref="M12:P12"/>
  </mergeCells>
  <phoneticPr fontId="0" type="noConversion"/>
  <pageMargins left="0.4" right="0.4" top="0.4" bottom="0.4" header="0.1" footer="0.1"/>
  <pageSetup paperSize="9" scale="3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5"/>
  <sheetViews>
    <sheetView workbookViewId="0">
      <selection activeCell="A6" sqref="A6:B6"/>
    </sheetView>
  </sheetViews>
  <sheetFormatPr defaultRowHeight="10.5" x14ac:dyDescent="0.15"/>
  <cols>
    <col min="1" max="1" width="57.28515625" customWidth="1"/>
    <col min="2" max="17" width="19.140625" customWidth="1"/>
  </cols>
  <sheetData>
    <row r="1" spans="1:17" ht="50.1" customHeight="1" x14ac:dyDescent="0.15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30" customHeight="1" x14ac:dyDescent="0.15">
      <c r="A2" s="102" t="s">
        <v>711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ht="30" customHeight="1" x14ac:dyDescent="0.15">
      <c r="Q3" s="1" t="s">
        <v>1</v>
      </c>
    </row>
    <row r="4" spans="1:17" ht="30" customHeight="1" x14ac:dyDescent="0.15">
      <c r="P4" s="8" t="s">
        <v>2</v>
      </c>
      <c r="Q4" s="1" t="s">
        <v>49</v>
      </c>
    </row>
    <row r="5" spans="1:17" ht="30" customHeight="1" x14ac:dyDescent="0.15">
      <c r="P5" s="8" t="s">
        <v>5</v>
      </c>
      <c r="Q5" s="1" t="s">
        <v>6</v>
      </c>
    </row>
    <row r="6" spans="1:17" ht="30" customHeight="1" x14ac:dyDescent="0.15">
      <c r="A6" s="106" t="s">
        <v>3</v>
      </c>
      <c r="B6" s="106"/>
      <c r="C6" s="98" t="s">
        <v>4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P6" s="8" t="s">
        <v>9</v>
      </c>
      <c r="Q6" s="1" t="s">
        <v>10</v>
      </c>
    </row>
    <row r="7" spans="1:17" ht="30" customHeight="1" x14ac:dyDescent="0.15">
      <c r="A7" s="96" t="s">
        <v>50</v>
      </c>
      <c r="B7" s="96"/>
      <c r="C7" s="98" t="s">
        <v>12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P7" s="8" t="s">
        <v>13</v>
      </c>
      <c r="Q7" s="1" t="s">
        <v>14</v>
      </c>
    </row>
    <row r="8" spans="1:17" ht="30" customHeight="1" x14ac:dyDescent="0.15">
      <c r="A8" s="96" t="s">
        <v>15</v>
      </c>
      <c r="B8" s="96"/>
      <c r="C8" s="98" t="s">
        <v>16</v>
      </c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P8" s="8" t="s">
        <v>51</v>
      </c>
      <c r="Q8" s="1" t="s">
        <v>18</v>
      </c>
    </row>
    <row r="9" spans="1:17" ht="30" customHeight="1" x14ac:dyDescent="0.15">
      <c r="A9" s="96" t="s">
        <v>19</v>
      </c>
      <c r="B9" s="96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8" t="s">
        <v>20</v>
      </c>
      <c r="Q9" s="1" t="s">
        <v>21</v>
      </c>
    </row>
    <row r="10" spans="1:17" ht="30" customHeight="1" x14ac:dyDescent="0.15"/>
    <row r="11" spans="1:17" ht="39.950000000000003" customHeight="1" x14ac:dyDescent="0.15">
      <c r="A11" s="101" t="s">
        <v>53</v>
      </c>
      <c r="B11" s="101" t="s">
        <v>54</v>
      </c>
      <c r="C11" s="101" t="s">
        <v>332</v>
      </c>
      <c r="D11" s="101"/>
      <c r="E11" s="101" t="s">
        <v>333</v>
      </c>
      <c r="F11" s="101"/>
      <c r="G11" s="101"/>
      <c r="H11" s="101" t="s">
        <v>334</v>
      </c>
      <c r="I11" s="101"/>
      <c r="J11" s="101"/>
      <c r="K11" s="101"/>
      <c r="L11" s="101"/>
      <c r="M11" s="101"/>
      <c r="N11" s="101" t="s">
        <v>335</v>
      </c>
      <c r="O11" s="101"/>
      <c r="P11" s="101" t="s">
        <v>336</v>
      </c>
      <c r="Q11" s="101" t="s">
        <v>337</v>
      </c>
    </row>
    <row r="12" spans="1:17" ht="30" customHeight="1" x14ac:dyDescent="0.15">
      <c r="A12" s="101"/>
      <c r="B12" s="101"/>
      <c r="C12" s="101" t="s">
        <v>216</v>
      </c>
      <c r="D12" s="101" t="s">
        <v>338</v>
      </c>
      <c r="E12" s="101" t="s">
        <v>339</v>
      </c>
      <c r="F12" s="101"/>
      <c r="G12" s="101" t="s">
        <v>340</v>
      </c>
      <c r="H12" s="101" t="s">
        <v>216</v>
      </c>
      <c r="I12" s="101" t="s">
        <v>338</v>
      </c>
      <c r="J12" s="101" t="s">
        <v>341</v>
      </c>
      <c r="K12" s="101"/>
      <c r="L12" s="101"/>
      <c r="M12" s="101"/>
      <c r="N12" s="101" t="s">
        <v>342</v>
      </c>
      <c r="O12" s="101" t="s">
        <v>343</v>
      </c>
      <c r="P12" s="101"/>
      <c r="Q12" s="101"/>
    </row>
    <row r="13" spans="1:17" ht="30" customHeight="1" x14ac:dyDescent="0.15">
      <c r="A13" s="101"/>
      <c r="B13" s="101"/>
      <c r="C13" s="101"/>
      <c r="D13" s="101"/>
      <c r="E13" s="1" t="s">
        <v>344</v>
      </c>
      <c r="F13" s="1" t="s">
        <v>343</v>
      </c>
      <c r="G13" s="101"/>
      <c r="H13" s="101"/>
      <c r="I13" s="101"/>
      <c r="J13" s="1" t="s">
        <v>345</v>
      </c>
      <c r="K13" s="1" t="s">
        <v>346</v>
      </c>
      <c r="L13" s="1" t="s">
        <v>347</v>
      </c>
      <c r="M13" s="1" t="s">
        <v>348</v>
      </c>
      <c r="N13" s="101"/>
      <c r="O13" s="101"/>
      <c r="P13" s="101"/>
      <c r="Q13" s="101"/>
    </row>
    <row r="14" spans="1:17" ht="20.100000000000001" customHeight="1" x14ac:dyDescent="0.15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151</v>
      </c>
      <c r="H14" s="1" t="s">
        <v>152</v>
      </c>
      <c r="I14" s="1" t="s">
        <v>153</v>
      </c>
      <c r="J14" s="1" t="s">
        <v>154</v>
      </c>
      <c r="K14" s="1" t="s">
        <v>155</v>
      </c>
      <c r="L14" s="1" t="s">
        <v>156</v>
      </c>
      <c r="M14" s="1" t="s">
        <v>157</v>
      </c>
      <c r="N14" s="1" t="s">
        <v>158</v>
      </c>
      <c r="O14" s="1" t="s">
        <v>159</v>
      </c>
      <c r="P14" s="1" t="s">
        <v>160</v>
      </c>
      <c r="Q14" s="1" t="s">
        <v>161</v>
      </c>
    </row>
    <row r="15" spans="1:17" ht="30" customHeight="1" x14ac:dyDescent="0.15">
      <c r="A15" s="2" t="s">
        <v>306</v>
      </c>
      <c r="B15" s="1" t="s">
        <v>121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4"/>
      <c r="Q15" s="4"/>
    </row>
    <row r="16" spans="1:17" ht="30" customHeight="1" x14ac:dyDescent="0.15">
      <c r="A16" s="2" t="s">
        <v>307</v>
      </c>
      <c r="B16" s="1" t="s">
        <v>244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4"/>
      <c r="Q16" s="4"/>
    </row>
    <row r="17" spans="1:17" ht="30" customHeight="1" x14ac:dyDescent="0.15">
      <c r="A17" s="2" t="s">
        <v>308</v>
      </c>
      <c r="B17" s="1" t="s">
        <v>309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4"/>
      <c r="Q17" s="4"/>
    </row>
    <row r="18" spans="1:17" ht="30" customHeight="1" x14ac:dyDescent="0.15">
      <c r="A18" s="2" t="s">
        <v>310</v>
      </c>
      <c r="B18" s="1" t="s">
        <v>311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4"/>
      <c r="Q18" s="4"/>
    </row>
    <row r="19" spans="1:17" ht="30" customHeight="1" x14ac:dyDescent="0.15">
      <c r="A19" s="2" t="s">
        <v>312</v>
      </c>
      <c r="B19" s="1" t="s">
        <v>313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4"/>
      <c r="Q19" s="4"/>
    </row>
    <row r="20" spans="1:17" ht="30" customHeight="1" x14ac:dyDescent="0.15">
      <c r="A20" s="2" t="s">
        <v>314</v>
      </c>
      <c r="B20" s="1" t="s">
        <v>315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4"/>
      <c r="Q20" s="4"/>
    </row>
    <row r="21" spans="1:17" ht="30" customHeight="1" x14ac:dyDescent="0.15">
      <c r="A21" s="2" t="s">
        <v>316</v>
      </c>
      <c r="B21" s="1" t="s">
        <v>317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4"/>
      <c r="Q21" s="4"/>
    </row>
    <row r="22" spans="1:17" ht="30" customHeight="1" x14ac:dyDescent="0.15">
      <c r="A22" s="2" t="s">
        <v>349</v>
      </c>
      <c r="B22" s="1" t="s">
        <v>319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4"/>
      <c r="Q22" s="4"/>
    </row>
    <row r="23" spans="1:17" ht="30" customHeight="1" x14ac:dyDescent="0.15">
      <c r="A23" s="2" t="s">
        <v>320</v>
      </c>
      <c r="B23" s="1" t="s">
        <v>321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4"/>
      <c r="Q23" s="4"/>
    </row>
    <row r="24" spans="1:17" ht="30" customHeight="1" x14ac:dyDescent="0.15">
      <c r="A24" s="2" t="s">
        <v>322</v>
      </c>
      <c r="B24" s="1" t="s">
        <v>323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4"/>
      <c r="Q24" s="4"/>
    </row>
    <row r="25" spans="1:17" ht="30" customHeight="1" x14ac:dyDescent="0.15">
      <c r="A25" s="2" t="s">
        <v>324</v>
      </c>
      <c r="B25" s="1" t="s">
        <v>325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4"/>
      <c r="Q25" s="4"/>
    </row>
    <row r="26" spans="1:17" ht="30" customHeight="1" x14ac:dyDescent="0.15">
      <c r="A26" s="2" t="s">
        <v>326</v>
      </c>
      <c r="B26" s="1" t="s">
        <v>327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4"/>
      <c r="Q26" s="4"/>
    </row>
    <row r="27" spans="1:17" ht="30" customHeight="1" x14ac:dyDescent="0.15">
      <c r="A27" s="2" t="s">
        <v>328</v>
      </c>
      <c r="B27" s="1" t="s">
        <v>329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4"/>
      <c r="Q27" s="4"/>
    </row>
    <row r="28" spans="1:17" ht="30" customHeight="1" x14ac:dyDescent="0.15">
      <c r="A28" s="2" t="s">
        <v>330</v>
      </c>
      <c r="B28" s="1" t="s">
        <v>331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4"/>
      <c r="Q28" s="4"/>
    </row>
    <row r="29" spans="1:17" ht="20.100000000000001" customHeight="1" x14ac:dyDescent="0.15">
      <c r="A29" s="9" t="s">
        <v>132</v>
      </c>
      <c r="B29" s="12" t="s">
        <v>133</v>
      </c>
      <c r="C29" s="10">
        <v>0</v>
      </c>
      <c r="D29" s="12" t="s">
        <v>134</v>
      </c>
      <c r="E29" s="10">
        <v>0</v>
      </c>
      <c r="F29" s="10">
        <v>0</v>
      </c>
      <c r="G29" s="10">
        <v>0</v>
      </c>
      <c r="H29" s="10">
        <v>0</v>
      </c>
      <c r="I29" s="12" t="s">
        <v>134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2" t="s">
        <v>134</v>
      </c>
      <c r="Q29" s="12" t="s">
        <v>134</v>
      </c>
    </row>
    <row r="30" spans="1:17" ht="15" customHeight="1" x14ac:dyDescent="0.15"/>
    <row r="31" spans="1:17" ht="39.950000000000003" customHeight="1" x14ac:dyDescent="0.15">
      <c r="A31" s="5" t="s">
        <v>42</v>
      </c>
      <c r="B31" s="7"/>
      <c r="D31" s="7"/>
      <c r="F31" s="7"/>
    </row>
    <row r="32" spans="1:17" ht="20.100000000000001" customHeight="1" x14ac:dyDescent="0.15">
      <c r="B32" s="6" t="s">
        <v>43</v>
      </c>
      <c r="D32" s="6" t="s">
        <v>206</v>
      </c>
      <c r="F32" s="6" t="s">
        <v>44</v>
      </c>
    </row>
    <row r="33" spans="1:6" ht="39.950000000000003" customHeight="1" x14ac:dyDescent="0.15">
      <c r="A33" s="5" t="s">
        <v>45</v>
      </c>
      <c r="B33" s="7"/>
      <c r="D33" s="7"/>
      <c r="F33" s="7"/>
    </row>
    <row r="34" spans="1:6" ht="20.100000000000001" customHeight="1" x14ac:dyDescent="0.15">
      <c r="B34" s="6" t="s">
        <v>43</v>
      </c>
      <c r="D34" s="6" t="s">
        <v>276</v>
      </c>
      <c r="F34" s="6" t="s">
        <v>46</v>
      </c>
    </row>
    <row r="35" spans="1:6" ht="20.100000000000001" customHeight="1" x14ac:dyDescent="0.15">
      <c r="A35" s="96" t="s">
        <v>47</v>
      </c>
      <c r="B35" s="96"/>
    </row>
  </sheetData>
  <mergeCells count="28">
    <mergeCell ref="A1:Q1"/>
    <mergeCell ref="A2:Q2"/>
    <mergeCell ref="A6:B6"/>
    <mergeCell ref="C6:N6"/>
    <mergeCell ref="A7:B7"/>
    <mergeCell ref="C7:N7"/>
    <mergeCell ref="A8:B8"/>
    <mergeCell ref="C8:N8"/>
    <mergeCell ref="A9:B9"/>
    <mergeCell ref="C9:N9"/>
    <mergeCell ref="A11:A13"/>
    <mergeCell ref="B11:B13"/>
    <mergeCell ref="C11:D11"/>
    <mergeCell ref="E11:G11"/>
    <mergeCell ref="H11:M11"/>
    <mergeCell ref="N11:O11"/>
    <mergeCell ref="A35:B35"/>
    <mergeCell ref="P11:P13"/>
    <mergeCell ref="Q11:Q13"/>
    <mergeCell ref="C12:C13"/>
    <mergeCell ref="D12:D13"/>
    <mergeCell ref="E12:F12"/>
    <mergeCell ref="G12:G13"/>
    <mergeCell ref="H12:H13"/>
    <mergeCell ref="I12:I13"/>
    <mergeCell ref="J12:M12"/>
    <mergeCell ref="N12:N13"/>
    <mergeCell ref="O12:O13"/>
  </mergeCells>
  <phoneticPr fontId="0" type="noConversion"/>
  <pageMargins left="0.4" right="0.4" top="0.4" bottom="0.4" header="0.1" footer="0.1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4"/>
  <sheetViews>
    <sheetView workbookViewId="0">
      <selection activeCell="A16" sqref="A16:XFD27"/>
    </sheetView>
  </sheetViews>
  <sheetFormatPr defaultRowHeight="15" x14ac:dyDescent="0.15"/>
  <cols>
    <col min="1" max="1" width="66.85546875" style="58" customWidth="1"/>
    <col min="2" max="15" width="24.85546875" style="58" customWidth="1"/>
    <col min="16" max="16384" width="9.140625" style="58"/>
  </cols>
  <sheetData>
    <row r="1" spans="1:15" ht="50.1" customHeight="1" x14ac:dyDescent="0.15">
      <c r="A1" s="109" t="s">
        <v>28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30" customHeight="1" x14ac:dyDescent="0.15">
      <c r="A2" s="108" t="s">
        <v>711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30" customHeight="1" x14ac:dyDescent="0.15">
      <c r="O3" s="57" t="s">
        <v>1</v>
      </c>
    </row>
    <row r="4" spans="1:15" ht="30" customHeight="1" x14ac:dyDescent="0.15">
      <c r="N4" s="60" t="s">
        <v>2</v>
      </c>
      <c r="O4" s="57" t="s">
        <v>49</v>
      </c>
    </row>
    <row r="5" spans="1:15" ht="30" customHeight="1" x14ac:dyDescent="0.15">
      <c r="N5" s="60" t="s">
        <v>5</v>
      </c>
      <c r="O5" s="57" t="s">
        <v>6</v>
      </c>
    </row>
    <row r="6" spans="1:15" ht="30" customHeight="1" x14ac:dyDescent="0.15">
      <c r="A6" s="106" t="s">
        <v>3</v>
      </c>
      <c r="B6" s="106"/>
      <c r="C6" s="106"/>
      <c r="D6" s="107" t="s">
        <v>4</v>
      </c>
      <c r="E6" s="107"/>
      <c r="F6" s="107"/>
      <c r="G6" s="107"/>
      <c r="H6" s="107"/>
      <c r="I6" s="107"/>
      <c r="J6" s="107"/>
      <c r="K6" s="107"/>
      <c r="L6" s="107"/>
      <c r="M6" s="107"/>
      <c r="N6" s="60" t="s">
        <v>9</v>
      </c>
      <c r="O6" s="57" t="s">
        <v>10</v>
      </c>
    </row>
    <row r="7" spans="1:15" ht="30" customHeight="1" x14ac:dyDescent="0.15">
      <c r="A7" s="106" t="s">
        <v>50</v>
      </c>
      <c r="B7" s="106"/>
      <c r="C7" s="106"/>
      <c r="D7" s="107" t="s">
        <v>12</v>
      </c>
      <c r="E7" s="107"/>
      <c r="F7" s="107"/>
      <c r="G7" s="107"/>
      <c r="H7" s="107"/>
      <c r="I7" s="107"/>
      <c r="J7" s="107"/>
      <c r="K7" s="107"/>
      <c r="L7" s="107"/>
      <c r="M7" s="107"/>
      <c r="N7" s="60" t="s">
        <v>13</v>
      </c>
      <c r="O7" s="57" t="s">
        <v>14</v>
      </c>
    </row>
    <row r="8" spans="1:15" ht="30" customHeight="1" x14ac:dyDescent="0.15">
      <c r="A8" s="106" t="s">
        <v>15</v>
      </c>
      <c r="B8" s="106"/>
      <c r="C8" s="106"/>
      <c r="D8" s="107" t="s">
        <v>16</v>
      </c>
      <c r="E8" s="107"/>
      <c r="F8" s="107"/>
      <c r="G8" s="107"/>
      <c r="H8" s="107"/>
      <c r="I8" s="107"/>
      <c r="J8" s="107"/>
      <c r="K8" s="107"/>
      <c r="L8" s="107"/>
      <c r="M8" s="107"/>
      <c r="N8" s="60" t="s">
        <v>51</v>
      </c>
      <c r="O8" s="57" t="s">
        <v>18</v>
      </c>
    </row>
    <row r="9" spans="1:15" ht="30" customHeight="1" x14ac:dyDescent="0.15">
      <c r="A9" s="106" t="s">
        <v>19</v>
      </c>
      <c r="B9" s="106"/>
      <c r="C9" s="106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60" t="s">
        <v>20</v>
      </c>
      <c r="O9" s="57" t="s">
        <v>21</v>
      </c>
    </row>
    <row r="10" spans="1:15" ht="30" customHeight="1" x14ac:dyDescent="0.15"/>
    <row r="11" spans="1:15" ht="39.950000000000003" customHeight="1" x14ac:dyDescent="0.15">
      <c r="A11" s="105" t="s">
        <v>53</v>
      </c>
      <c r="B11" s="105" t="s">
        <v>54</v>
      </c>
      <c r="C11" s="105" t="s">
        <v>350</v>
      </c>
      <c r="D11" s="105"/>
      <c r="E11" s="105" t="s">
        <v>351</v>
      </c>
      <c r="F11" s="105"/>
      <c r="G11" s="105"/>
      <c r="H11" s="105" t="s">
        <v>352</v>
      </c>
      <c r="I11" s="105"/>
      <c r="J11" s="105"/>
      <c r="K11" s="105"/>
      <c r="L11" s="105" t="s">
        <v>353</v>
      </c>
      <c r="M11" s="105"/>
      <c r="N11" s="105" t="s">
        <v>354</v>
      </c>
      <c r="O11" s="105"/>
    </row>
    <row r="12" spans="1:15" ht="30" customHeight="1" x14ac:dyDescent="0.15">
      <c r="A12" s="105"/>
      <c r="B12" s="105"/>
      <c r="C12" s="105" t="s">
        <v>216</v>
      </c>
      <c r="D12" s="105" t="s">
        <v>355</v>
      </c>
      <c r="E12" s="105" t="s">
        <v>216</v>
      </c>
      <c r="F12" s="105" t="s">
        <v>295</v>
      </c>
      <c r="G12" s="105"/>
      <c r="H12" s="105" t="s">
        <v>216</v>
      </c>
      <c r="I12" s="105" t="s">
        <v>356</v>
      </c>
      <c r="J12" s="105"/>
      <c r="K12" s="105" t="s">
        <v>357</v>
      </c>
      <c r="L12" s="105" t="s">
        <v>216</v>
      </c>
      <c r="M12" s="105" t="s">
        <v>358</v>
      </c>
      <c r="N12" s="105" t="s">
        <v>216</v>
      </c>
      <c r="O12" s="105" t="s">
        <v>355</v>
      </c>
    </row>
    <row r="13" spans="1:15" ht="30" customHeight="1" x14ac:dyDescent="0.15">
      <c r="A13" s="105"/>
      <c r="B13" s="105"/>
      <c r="C13" s="105"/>
      <c r="D13" s="105"/>
      <c r="E13" s="105"/>
      <c r="F13" s="57" t="s">
        <v>359</v>
      </c>
      <c r="G13" s="57" t="s">
        <v>360</v>
      </c>
      <c r="H13" s="105"/>
      <c r="I13" s="57" t="s">
        <v>216</v>
      </c>
      <c r="J13" s="57" t="s">
        <v>361</v>
      </c>
      <c r="K13" s="105"/>
      <c r="L13" s="105"/>
      <c r="M13" s="105"/>
      <c r="N13" s="105"/>
      <c r="O13" s="105"/>
    </row>
    <row r="14" spans="1:15" ht="20.100000000000001" customHeight="1" x14ac:dyDescent="0.15">
      <c r="A14" s="57" t="s">
        <v>60</v>
      </c>
      <c r="B14" s="57" t="s">
        <v>61</v>
      </c>
      <c r="C14" s="57" t="s">
        <v>62</v>
      </c>
      <c r="D14" s="57" t="s">
        <v>63</v>
      </c>
      <c r="E14" s="57" t="s">
        <v>64</v>
      </c>
      <c r="F14" s="57" t="s">
        <v>65</v>
      </c>
      <c r="G14" s="57" t="s">
        <v>151</v>
      </c>
      <c r="H14" s="57" t="s">
        <v>152</v>
      </c>
      <c r="I14" s="57" t="s">
        <v>153</v>
      </c>
      <c r="J14" s="57" t="s">
        <v>154</v>
      </c>
      <c r="K14" s="57" t="s">
        <v>155</v>
      </c>
      <c r="L14" s="57" t="s">
        <v>156</v>
      </c>
      <c r="M14" s="57" t="s">
        <v>157</v>
      </c>
      <c r="N14" s="57" t="s">
        <v>158</v>
      </c>
      <c r="O14" s="57" t="s">
        <v>159</v>
      </c>
    </row>
    <row r="15" spans="1:15" ht="20.100000000000001" customHeight="1" x14ac:dyDescent="0.15">
      <c r="A15" s="66" t="s">
        <v>362</v>
      </c>
      <c r="B15" s="57" t="s">
        <v>67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</row>
    <row r="16" spans="1:15" x14ac:dyDescent="0.15">
      <c r="A16" s="63" t="s">
        <v>363</v>
      </c>
      <c r="B16" s="57" t="s">
        <v>364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</row>
    <row r="17" spans="1:15" ht="30" x14ac:dyDescent="0.15">
      <c r="A17" s="63" t="s">
        <v>365</v>
      </c>
      <c r="B17" s="57" t="s">
        <v>366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</row>
    <row r="18" spans="1:15" ht="45" x14ac:dyDescent="0.15">
      <c r="A18" s="63" t="s">
        <v>367</v>
      </c>
      <c r="B18" s="57" t="s">
        <v>368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</row>
    <row r="19" spans="1:15" x14ac:dyDescent="0.15">
      <c r="A19" s="63" t="s">
        <v>369</v>
      </c>
      <c r="B19" s="57" t="s">
        <v>370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</row>
    <row r="20" spans="1:15" ht="30" x14ac:dyDescent="0.15">
      <c r="A20" s="66" t="s">
        <v>371</v>
      </c>
      <c r="B20" s="57" t="s">
        <v>69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</row>
    <row r="21" spans="1:15" ht="30" x14ac:dyDescent="0.15">
      <c r="A21" s="63" t="s">
        <v>372</v>
      </c>
      <c r="B21" s="57" t="s">
        <v>373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</row>
    <row r="22" spans="1:15" ht="30" x14ac:dyDescent="0.15">
      <c r="A22" s="63" t="s">
        <v>365</v>
      </c>
      <c r="B22" s="57" t="s">
        <v>374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</row>
    <row r="23" spans="1:15" x14ac:dyDescent="0.15">
      <c r="A23" s="63" t="s">
        <v>375</v>
      </c>
      <c r="B23" s="57" t="s">
        <v>376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</row>
    <row r="24" spans="1:15" ht="30" x14ac:dyDescent="0.15">
      <c r="A24" s="63" t="s">
        <v>377</v>
      </c>
      <c r="B24" s="57" t="s">
        <v>378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</row>
    <row r="25" spans="1:15" ht="30" x14ac:dyDescent="0.15">
      <c r="A25" s="66" t="s">
        <v>379</v>
      </c>
      <c r="B25" s="57" t="s">
        <v>71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</row>
    <row r="26" spans="1:15" ht="30" x14ac:dyDescent="0.15">
      <c r="A26" s="63" t="s">
        <v>380</v>
      </c>
      <c r="B26" s="57" t="s">
        <v>381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</row>
    <row r="27" spans="1:15" ht="30" x14ac:dyDescent="0.15">
      <c r="A27" s="63" t="s">
        <v>382</v>
      </c>
      <c r="B27" s="57" t="s">
        <v>383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</row>
    <row r="28" spans="1:15" ht="20.100000000000001" customHeight="1" x14ac:dyDescent="0.15">
      <c r="A28" s="64" t="s">
        <v>132</v>
      </c>
      <c r="B28" s="65" t="s">
        <v>133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</row>
    <row r="29" spans="1:15" ht="15" customHeight="1" x14ac:dyDescent="0.15"/>
    <row r="30" spans="1:15" ht="39.950000000000003" customHeight="1" x14ac:dyDescent="0.15">
      <c r="A30" s="61" t="s">
        <v>42</v>
      </c>
      <c r="B30" s="62"/>
      <c r="D30" s="62"/>
      <c r="F30" s="62"/>
    </row>
    <row r="31" spans="1:15" ht="20.100000000000001" customHeight="1" x14ac:dyDescent="0.15">
      <c r="B31" s="59" t="s">
        <v>43</v>
      </c>
      <c r="D31" s="59" t="s">
        <v>206</v>
      </c>
      <c r="F31" s="59" t="s">
        <v>44</v>
      </c>
    </row>
    <row r="32" spans="1:15" ht="39.950000000000003" customHeight="1" x14ac:dyDescent="0.15">
      <c r="A32" s="61" t="s">
        <v>45</v>
      </c>
      <c r="B32" s="62"/>
      <c r="D32" s="62"/>
      <c r="F32" s="62"/>
    </row>
    <row r="33" spans="1:6" ht="20.100000000000001" customHeight="1" x14ac:dyDescent="0.15">
      <c r="B33" s="59" t="s">
        <v>43</v>
      </c>
      <c r="D33" s="59" t="s">
        <v>276</v>
      </c>
      <c r="F33" s="59" t="s">
        <v>46</v>
      </c>
    </row>
    <row r="34" spans="1:6" ht="20.100000000000001" customHeight="1" x14ac:dyDescent="0.15">
      <c r="A34" s="106" t="s">
        <v>47</v>
      </c>
      <c r="B34" s="106"/>
    </row>
  </sheetData>
  <mergeCells count="29">
    <mergeCell ref="A1:O1"/>
    <mergeCell ref="A2:O2"/>
    <mergeCell ref="A6:C6"/>
    <mergeCell ref="D6:M6"/>
    <mergeCell ref="A7:C7"/>
    <mergeCell ref="D7:M7"/>
    <mergeCell ref="A8:C8"/>
    <mergeCell ref="D8:M8"/>
    <mergeCell ref="A9:C9"/>
    <mergeCell ref="D9:M9"/>
    <mergeCell ref="A11:A13"/>
    <mergeCell ref="B11:B13"/>
    <mergeCell ref="C11:D11"/>
    <mergeCell ref="E11:G11"/>
    <mergeCell ref="H11:K11"/>
    <mergeCell ref="L11:M11"/>
    <mergeCell ref="A34:B34"/>
    <mergeCell ref="N11:O11"/>
    <mergeCell ref="C12:C13"/>
    <mergeCell ref="D12:D13"/>
    <mergeCell ref="E12:E13"/>
    <mergeCell ref="F12:G12"/>
    <mergeCell ref="H12:H13"/>
    <mergeCell ref="I12:J12"/>
    <mergeCell ref="K12:K13"/>
    <mergeCell ref="L12:L13"/>
    <mergeCell ref="M12:M13"/>
    <mergeCell ref="N12:N13"/>
    <mergeCell ref="O12:O13"/>
  </mergeCells>
  <phoneticPr fontId="0" type="noConversion"/>
  <pageMargins left="0.4" right="0.4" top="0.4" bottom="0.4" header="0.1" footer="0.1"/>
  <pageSetup paperSize="9" scale="3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Q31"/>
  <sheetViews>
    <sheetView topLeftCell="B4" zoomScale="50" zoomScaleNormal="50" workbookViewId="0">
      <selection activeCell="H28" sqref="H28"/>
    </sheetView>
  </sheetViews>
  <sheetFormatPr defaultRowHeight="19.5" x14ac:dyDescent="0.15"/>
  <cols>
    <col min="1" max="1" width="66.85546875" style="29" customWidth="1"/>
    <col min="2" max="17" width="24.85546875" style="29" customWidth="1"/>
    <col min="18" max="16384" width="9.140625" style="29"/>
  </cols>
  <sheetData>
    <row r="1" spans="1:17" ht="50.1" customHeight="1" x14ac:dyDescent="0.15">
      <c r="A1" s="114" t="s">
        <v>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0" customHeight="1" x14ac:dyDescent="0.15">
      <c r="A2" s="113" t="s">
        <v>711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ht="30" customHeight="1" x14ac:dyDescent="0.15">
      <c r="Q3" s="26" t="s">
        <v>1</v>
      </c>
    </row>
    <row r="4" spans="1:17" ht="30" customHeight="1" x14ac:dyDescent="0.15">
      <c r="P4" s="31" t="s">
        <v>2</v>
      </c>
      <c r="Q4" s="26" t="s">
        <v>49</v>
      </c>
    </row>
    <row r="5" spans="1:17" ht="30" customHeight="1" x14ac:dyDescent="0.15">
      <c r="P5" s="31" t="s">
        <v>5</v>
      </c>
      <c r="Q5" s="26" t="s">
        <v>6</v>
      </c>
    </row>
    <row r="6" spans="1:17" ht="30" customHeight="1" x14ac:dyDescent="0.15">
      <c r="A6" s="111" t="s">
        <v>3</v>
      </c>
      <c r="B6" s="111"/>
      <c r="C6" s="112" t="s">
        <v>4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P6" s="31" t="s">
        <v>9</v>
      </c>
      <c r="Q6" s="26" t="s">
        <v>10</v>
      </c>
    </row>
    <row r="7" spans="1:17" ht="30" customHeight="1" x14ac:dyDescent="0.15">
      <c r="A7" s="111" t="s">
        <v>50</v>
      </c>
      <c r="B7" s="111"/>
      <c r="C7" s="112" t="s">
        <v>12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P7" s="31" t="s">
        <v>13</v>
      </c>
      <c r="Q7" s="26" t="s">
        <v>14</v>
      </c>
    </row>
    <row r="8" spans="1:17" ht="30" customHeight="1" x14ac:dyDescent="0.15">
      <c r="A8" s="111" t="s">
        <v>15</v>
      </c>
      <c r="B8" s="111"/>
      <c r="C8" s="112" t="s">
        <v>16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P8" s="31" t="s">
        <v>51</v>
      </c>
      <c r="Q8" s="26" t="s">
        <v>18</v>
      </c>
    </row>
    <row r="9" spans="1:17" ht="30" customHeight="1" x14ac:dyDescent="0.15">
      <c r="A9" s="111" t="s">
        <v>19</v>
      </c>
      <c r="B9" s="111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1" t="s">
        <v>20</v>
      </c>
      <c r="Q9" s="26" t="s">
        <v>21</v>
      </c>
    </row>
    <row r="10" spans="1:17" ht="30" customHeight="1" x14ac:dyDescent="0.15"/>
    <row r="11" spans="1:17" ht="50.1" customHeight="1" x14ac:dyDescent="0.15">
      <c r="A11" s="114" t="s">
        <v>384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</row>
    <row r="12" spans="1:17" ht="62.25" customHeight="1" x14ac:dyDescent="0.15">
      <c r="A12" s="110" t="s">
        <v>385</v>
      </c>
      <c r="B12" s="110" t="s">
        <v>54</v>
      </c>
      <c r="C12" s="110" t="s">
        <v>386</v>
      </c>
      <c r="D12" s="110"/>
      <c r="E12" s="110"/>
      <c r="F12" s="110"/>
      <c r="G12" s="110" t="s">
        <v>387</v>
      </c>
      <c r="H12" s="110"/>
      <c r="I12" s="110"/>
      <c r="J12" s="110"/>
      <c r="K12" s="110"/>
      <c r="L12" s="110" t="s">
        <v>388</v>
      </c>
      <c r="M12" s="110"/>
      <c r="N12" s="110" t="s">
        <v>389</v>
      </c>
      <c r="O12" s="110"/>
      <c r="P12" s="110"/>
      <c r="Q12" s="110"/>
    </row>
    <row r="13" spans="1:17" ht="70.5" customHeight="1" x14ac:dyDescent="0.15">
      <c r="A13" s="110"/>
      <c r="B13" s="110"/>
      <c r="C13" s="110" t="s">
        <v>390</v>
      </c>
      <c r="D13" s="110"/>
      <c r="E13" s="110" t="s">
        <v>295</v>
      </c>
      <c r="F13" s="110"/>
      <c r="G13" s="110" t="s">
        <v>216</v>
      </c>
      <c r="H13" s="110" t="s">
        <v>295</v>
      </c>
      <c r="I13" s="110"/>
      <c r="J13" s="110"/>
      <c r="K13" s="110"/>
      <c r="L13" s="110" t="s">
        <v>295</v>
      </c>
      <c r="M13" s="110"/>
      <c r="N13" s="110" t="s">
        <v>390</v>
      </c>
      <c r="O13" s="110"/>
      <c r="P13" s="110" t="s">
        <v>295</v>
      </c>
      <c r="Q13" s="110"/>
    </row>
    <row r="14" spans="1:17" ht="30" customHeight="1" x14ac:dyDescent="0.15">
      <c r="A14" s="110"/>
      <c r="B14" s="110"/>
      <c r="C14" s="110" t="s">
        <v>216</v>
      </c>
      <c r="D14" s="26" t="s">
        <v>391</v>
      </c>
      <c r="E14" s="110" t="s">
        <v>392</v>
      </c>
      <c r="F14" s="110" t="s">
        <v>393</v>
      </c>
      <c r="G14" s="110"/>
      <c r="H14" s="110" t="s">
        <v>394</v>
      </c>
      <c r="I14" s="110"/>
      <c r="J14" s="110" t="s">
        <v>395</v>
      </c>
      <c r="K14" s="110" t="s">
        <v>396</v>
      </c>
      <c r="L14" s="110" t="s">
        <v>397</v>
      </c>
      <c r="M14" s="110" t="s">
        <v>398</v>
      </c>
      <c r="N14" s="110" t="s">
        <v>216</v>
      </c>
      <c r="O14" s="110" t="s">
        <v>399</v>
      </c>
      <c r="P14" s="110" t="s">
        <v>392</v>
      </c>
      <c r="Q14" s="110" t="s">
        <v>393</v>
      </c>
    </row>
    <row r="15" spans="1:17" ht="30" customHeight="1" x14ac:dyDescent="0.15">
      <c r="A15" s="110"/>
      <c r="B15" s="110"/>
      <c r="C15" s="110"/>
      <c r="D15" s="110" t="s">
        <v>400</v>
      </c>
      <c r="E15" s="110"/>
      <c r="F15" s="110"/>
      <c r="G15" s="110"/>
      <c r="H15" s="110" t="s">
        <v>216</v>
      </c>
      <c r="I15" s="110" t="s">
        <v>399</v>
      </c>
      <c r="J15" s="110"/>
      <c r="K15" s="110"/>
      <c r="L15" s="110"/>
      <c r="M15" s="110"/>
      <c r="N15" s="110"/>
      <c r="O15" s="110"/>
      <c r="P15" s="110"/>
      <c r="Q15" s="110"/>
    </row>
    <row r="16" spans="1:17" ht="74.25" customHeight="1" x14ac:dyDescent="0.15">
      <c r="A16" s="110"/>
      <c r="B16" s="110"/>
      <c r="C16" s="110"/>
      <c r="D16" s="110"/>
      <c r="E16" s="110"/>
      <c r="F16" s="110"/>
      <c r="G16" s="110"/>
      <c r="H16" s="110"/>
      <c r="I16" s="110" t="s">
        <v>400</v>
      </c>
      <c r="J16" s="110"/>
      <c r="K16" s="110"/>
      <c r="L16" s="110"/>
      <c r="M16" s="110"/>
      <c r="N16" s="110"/>
      <c r="O16" s="110"/>
      <c r="P16" s="110"/>
      <c r="Q16" s="110"/>
    </row>
    <row r="17" spans="1:17" ht="20.100000000000001" customHeight="1" x14ac:dyDescent="0.15">
      <c r="A17" s="26" t="s">
        <v>60</v>
      </c>
      <c r="B17" s="26" t="s">
        <v>61</v>
      </c>
      <c r="C17" s="26" t="s">
        <v>62</v>
      </c>
      <c r="D17" s="26" t="s">
        <v>63</v>
      </c>
      <c r="E17" s="26" t="s">
        <v>64</v>
      </c>
      <c r="F17" s="26" t="s">
        <v>65</v>
      </c>
      <c r="G17" s="26" t="s">
        <v>151</v>
      </c>
      <c r="H17" s="26" t="s">
        <v>152</v>
      </c>
      <c r="I17" s="26" t="s">
        <v>153</v>
      </c>
      <c r="J17" s="26" t="s">
        <v>154</v>
      </c>
      <c r="K17" s="26" t="s">
        <v>155</v>
      </c>
      <c r="L17" s="26" t="s">
        <v>156</v>
      </c>
      <c r="M17" s="26" t="s">
        <v>157</v>
      </c>
      <c r="N17" s="26" t="s">
        <v>158</v>
      </c>
      <c r="O17" s="26" t="s">
        <v>159</v>
      </c>
      <c r="P17" s="26" t="s">
        <v>160</v>
      </c>
      <c r="Q17" s="26" t="s">
        <v>161</v>
      </c>
    </row>
    <row r="18" spans="1:17" ht="27" customHeight="1" x14ac:dyDescent="0.15">
      <c r="A18" s="67" t="s">
        <v>401</v>
      </c>
      <c r="B18" s="26" t="s">
        <v>121</v>
      </c>
      <c r="C18" s="25">
        <v>50.5</v>
      </c>
      <c r="D18" s="25">
        <v>50.5</v>
      </c>
      <c r="E18" s="25">
        <v>49</v>
      </c>
      <c r="F18" s="25">
        <v>1.5</v>
      </c>
      <c r="G18" s="25">
        <v>34.22</v>
      </c>
      <c r="H18" s="25">
        <v>33.97</v>
      </c>
      <c r="I18" s="25">
        <v>33.72</v>
      </c>
      <c r="J18" s="25">
        <v>2.04</v>
      </c>
      <c r="K18" s="25">
        <v>0.25</v>
      </c>
      <c r="L18" s="25"/>
      <c r="M18" s="25"/>
      <c r="N18" s="25">
        <v>49.5</v>
      </c>
      <c r="O18" s="25">
        <v>49.5</v>
      </c>
      <c r="P18" s="25">
        <v>48</v>
      </c>
      <c r="Q18" s="25">
        <v>1.5</v>
      </c>
    </row>
    <row r="19" spans="1:17" ht="27" customHeight="1" x14ac:dyDescent="0.15">
      <c r="A19" s="28" t="s">
        <v>146</v>
      </c>
      <c r="B19" s="26" t="s">
        <v>123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ht="27" customHeight="1" x14ac:dyDescent="0.15">
      <c r="A20" s="28" t="s">
        <v>402</v>
      </c>
      <c r="B20" s="26"/>
      <c r="C20" s="27">
        <v>18.75</v>
      </c>
      <c r="D20" s="27">
        <v>18.75</v>
      </c>
      <c r="E20" s="27">
        <v>18.75</v>
      </c>
      <c r="F20" s="27"/>
      <c r="G20" s="27">
        <v>8.82</v>
      </c>
      <c r="H20" s="27">
        <v>8.82</v>
      </c>
      <c r="I20" s="27">
        <v>8.82</v>
      </c>
      <c r="J20" s="27"/>
      <c r="K20" s="27"/>
      <c r="L20" s="27"/>
      <c r="M20" s="27"/>
      <c r="N20" s="27">
        <v>17.5</v>
      </c>
      <c r="O20" s="27">
        <v>17.5</v>
      </c>
      <c r="P20" s="27">
        <v>17.5</v>
      </c>
      <c r="Q20" s="27"/>
    </row>
    <row r="21" spans="1:17" ht="27" customHeight="1" x14ac:dyDescent="0.15">
      <c r="A21" s="28" t="s">
        <v>403</v>
      </c>
      <c r="B21" s="26"/>
      <c r="C21" s="27">
        <v>3.75</v>
      </c>
      <c r="D21" s="27">
        <v>3.75</v>
      </c>
      <c r="E21" s="27">
        <v>2.25</v>
      </c>
      <c r="F21" s="27">
        <v>1.5</v>
      </c>
      <c r="G21" s="27">
        <v>2</v>
      </c>
      <c r="H21" s="27">
        <v>2</v>
      </c>
      <c r="I21" s="27">
        <v>2</v>
      </c>
      <c r="J21" s="27"/>
      <c r="K21" s="27"/>
      <c r="L21" s="27"/>
      <c r="M21" s="27"/>
      <c r="N21" s="27">
        <v>3.75</v>
      </c>
      <c r="O21" s="27">
        <v>3.75</v>
      </c>
      <c r="P21" s="27">
        <v>2.25</v>
      </c>
      <c r="Q21" s="27">
        <v>1.5</v>
      </c>
    </row>
    <row r="22" spans="1:17" ht="27" customHeight="1" x14ac:dyDescent="0.15">
      <c r="A22" s="28" t="s">
        <v>404</v>
      </c>
      <c r="B22" s="26"/>
      <c r="C22" s="27">
        <v>13</v>
      </c>
      <c r="D22" s="27">
        <v>13</v>
      </c>
      <c r="E22" s="27">
        <v>13</v>
      </c>
      <c r="F22" s="27"/>
      <c r="G22" s="27">
        <v>9.86</v>
      </c>
      <c r="H22" s="27">
        <v>9.86</v>
      </c>
      <c r="I22" s="27">
        <v>9.86</v>
      </c>
      <c r="J22" s="27">
        <v>1.79</v>
      </c>
      <c r="K22" s="27"/>
      <c r="L22" s="27"/>
      <c r="M22" s="27"/>
      <c r="N22" s="27">
        <v>13</v>
      </c>
      <c r="O22" s="27">
        <v>13</v>
      </c>
      <c r="P22" s="27">
        <v>13</v>
      </c>
      <c r="Q22" s="27"/>
    </row>
    <row r="23" spans="1:17" ht="27" customHeight="1" x14ac:dyDescent="0.15">
      <c r="A23" s="28" t="s">
        <v>405</v>
      </c>
      <c r="B23" s="26"/>
      <c r="C23" s="27">
        <v>10</v>
      </c>
      <c r="D23" s="27">
        <v>10</v>
      </c>
      <c r="E23" s="27">
        <v>10</v>
      </c>
      <c r="F23" s="27"/>
      <c r="G23" s="27">
        <v>8.84</v>
      </c>
      <c r="H23" s="27">
        <v>8.59</v>
      </c>
      <c r="I23" s="27">
        <v>8.34</v>
      </c>
      <c r="J23" s="27">
        <v>0.25</v>
      </c>
      <c r="K23" s="27">
        <v>0.25</v>
      </c>
      <c r="L23" s="27"/>
      <c r="M23" s="27"/>
      <c r="N23" s="27">
        <v>10</v>
      </c>
      <c r="O23" s="27">
        <v>10</v>
      </c>
      <c r="P23" s="27">
        <v>10</v>
      </c>
      <c r="Q23" s="27"/>
    </row>
    <row r="24" spans="1:17" ht="27" customHeight="1" x14ac:dyDescent="0.15">
      <c r="A24" s="28" t="s">
        <v>406</v>
      </c>
      <c r="B24" s="26"/>
      <c r="C24" s="27">
        <v>5</v>
      </c>
      <c r="D24" s="27">
        <v>5</v>
      </c>
      <c r="E24" s="27">
        <v>5</v>
      </c>
      <c r="F24" s="27"/>
      <c r="G24" s="27">
        <v>4.7</v>
      </c>
      <c r="H24" s="27">
        <v>4.7</v>
      </c>
      <c r="I24" s="27">
        <v>4.7</v>
      </c>
      <c r="J24" s="27"/>
      <c r="K24" s="27"/>
      <c r="L24" s="27"/>
      <c r="M24" s="27"/>
      <c r="N24" s="27">
        <v>5.25</v>
      </c>
      <c r="O24" s="27">
        <v>5.25</v>
      </c>
      <c r="P24" s="27">
        <v>5.25</v>
      </c>
      <c r="Q24" s="27"/>
    </row>
    <row r="25" spans="1:17" ht="61.5" customHeight="1" x14ac:dyDescent="0.15">
      <c r="A25" s="67" t="s">
        <v>407</v>
      </c>
      <c r="B25" s="26" t="s">
        <v>244</v>
      </c>
      <c r="C25" s="25">
        <v>17.75</v>
      </c>
      <c r="D25" s="25">
        <v>17.75</v>
      </c>
      <c r="E25" s="25">
        <f>17.25-0.5</f>
        <v>16.75</v>
      </c>
      <c r="F25" s="25">
        <v>1</v>
      </c>
      <c r="G25" s="25">
        <f>13-0.565</f>
        <v>12.435</v>
      </c>
      <c r="H25" s="25">
        <f>12.69-0.565-1</f>
        <v>11.125</v>
      </c>
      <c r="I25" s="25">
        <f>12.69-0.565-1</f>
        <v>11.125</v>
      </c>
      <c r="J25" s="25">
        <v>2.6</v>
      </c>
      <c r="K25" s="25">
        <v>1.31</v>
      </c>
      <c r="L25" s="25"/>
      <c r="M25" s="25"/>
      <c r="N25" s="25">
        <v>18.75</v>
      </c>
      <c r="O25" s="25">
        <v>17.75</v>
      </c>
      <c r="P25" s="25">
        <v>17.75</v>
      </c>
      <c r="Q25" s="25">
        <v>1</v>
      </c>
    </row>
    <row r="26" spans="1:17" ht="27" customHeight="1" x14ac:dyDescent="0.15">
      <c r="A26" s="28" t="s">
        <v>146</v>
      </c>
      <c r="B26" s="26" t="s">
        <v>246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t="27" customHeight="1" x14ac:dyDescent="0.15">
      <c r="A27" s="28" t="s">
        <v>408</v>
      </c>
      <c r="B27" s="26"/>
      <c r="C27" s="27">
        <v>17.75</v>
      </c>
      <c r="D27" s="27">
        <v>17.75</v>
      </c>
      <c r="E27" s="27">
        <v>16.75</v>
      </c>
      <c r="F27" s="27">
        <v>1</v>
      </c>
      <c r="G27" s="27">
        <f>13-0.565</f>
        <v>12.435</v>
      </c>
      <c r="H27" s="27">
        <v>11.13</v>
      </c>
      <c r="I27" s="27">
        <v>11.13</v>
      </c>
      <c r="J27" s="27">
        <v>2.6</v>
      </c>
      <c r="K27" s="27">
        <v>1.31</v>
      </c>
      <c r="L27" s="27"/>
      <c r="M27" s="27"/>
      <c r="N27" s="27">
        <v>18.75</v>
      </c>
      <c r="O27" s="27">
        <v>17.75</v>
      </c>
      <c r="P27" s="27">
        <v>17.75</v>
      </c>
      <c r="Q27" s="27">
        <v>1</v>
      </c>
    </row>
    <row r="28" spans="1:17" ht="60" customHeight="1" x14ac:dyDescent="0.15">
      <c r="A28" s="67" t="s">
        <v>409</v>
      </c>
      <c r="B28" s="26" t="s">
        <v>309</v>
      </c>
      <c r="C28" s="25">
        <v>10</v>
      </c>
      <c r="D28" s="25">
        <v>10</v>
      </c>
      <c r="E28" s="25">
        <v>10</v>
      </c>
      <c r="F28" s="25"/>
      <c r="G28" s="25">
        <v>10</v>
      </c>
      <c r="H28" s="25">
        <v>10</v>
      </c>
      <c r="I28" s="25">
        <v>10</v>
      </c>
      <c r="J28" s="25"/>
      <c r="K28" s="25"/>
      <c r="L28" s="25"/>
      <c r="M28" s="25"/>
      <c r="N28" s="25">
        <v>10</v>
      </c>
      <c r="O28" s="25">
        <v>10</v>
      </c>
      <c r="P28" s="25">
        <v>10</v>
      </c>
      <c r="Q28" s="25"/>
    </row>
    <row r="29" spans="1:17" ht="27" customHeight="1" x14ac:dyDescent="0.15">
      <c r="A29" s="28" t="s">
        <v>146</v>
      </c>
      <c r="B29" s="26" t="s">
        <v>311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27" customHeight="1" x14ac:dyDescent="0.15">
      <c r="A30" s="28" t="s">
        <v>410</v>
      </c>
      <c r="B30" s="26"/>
      <c r="C30" s="27">
        <v>10</v>
      </c>
      <c r="D30" s="27">
        <v>10</v>
      </c>
      <c r="E30" s="27">
        <v>10</v>
      </c>
      <c r="F30" s="27"/>
      <c r="G30" s="27">
        <v>10</v>
      </c>
      <c r="H30" s="27">
        <v>10</v>
      </c>
      <c r="I30" s="27">
        <v>10</v>
      </c>
      <c r="J30" s="27"/>
      <c r="K30" s="27"/>
      <c r="L30" s="27"/>
      <c r="M30" s="27"/>
      <c r="N30" s="27">
        <v>10</v>
      </c>
      <c r="O30" s="27">
        <v>10</v>
      </c>
      <c r="P30" s="27">
        <v>10</v>
      </c>
      <c r="Q30" s="27"/>
    </row>
    <row r="31" spans="1:17" ht="20.100000000000001" customHeight="1" x14ac:dyDescent="0.15">
      <c r="A31" s="34" t="s">
        <v>132</v>
      </c>
      <c r="B31" s="68" t="s">
        <v>133</v>
      </c>
      <c r="C31" s="25">
        <f>VLOOKUP("Основной персонал, всего",A:U,3,0) + VLOOKUP("Вспомогательный персонал, всего",A:U,3,0) + VLOOKUP("Административно-управленческий персонал, всего",A:U,3,0)</f>
        <v>78.25</v>
      </c>
      <c r="D31" s="25">
        <f>VLOOKUP("Основной персонал, всего",A:U,4,0) + VLOOKUP("Вспомогательный персонал, всего",A:U,4,0) + VLOOKUP("Административно-управленческий персонал, всего",A:U,4,0)</f>
        <v>78.25</v>
      </c>
      <c r="E31" s="25">
        <f>VLOOKUP("Основной персонал, всего",A:U,5,0) + VLOOKUP("Вспомогательный персонал, всего",A:U,5,0) + VLOOKUP("Административно-управленческий персонал, всего",A:U,5,0)</f>
        <v>75.75</v>
      </c>
      <c r="F31" s="25">
        <f>D31-E31</f>
        <v>2.5</v>
      </c>
      <c r="G31" s="25">
        <f>VLOOKUP("Основной персонал, всего",A:U,7,0) + VLOOKUP("Вспомогательный персонал, всего",A:U,7,0) + VLOOKUP("Административно-управленческий персонал, всего",A:U,7,0)</f>
        <v>56.655000000000001</v>
      </c>
      <c r="H31" s="25">
        <f>VLOOKUP("Основной персонал, всего",A:U,8,0) + VLOOKUP("Вспомогательный персонал, всего",A:U,8,0) + VLOOKUP("Административно-управленческий персонал, всего",A:U,8,0)</f>
        <v>55.094999999999999</v>
      </c>
      <c r="I31" s="25">
        <f>VLOOKUP("Основной персонал, всего",A:U,9,0) + VLOOKUP("Вспомогательный персонал, всего",A:U,9,0) + VLOOKUP("Административно-управленческий персонал, всего",A:U,9,0)</f>
        <v>54.844999999999999</v>
      </c>
      <c r="J31" s="25">
        <f>VLOOKUP("Основной персонал, всего",A:U,10,0) + VLOOKUP("Вспомогательный персонал, всего",A:U,10,0) + VLOOKUP("Административно-управленческий персонал, всего",A:U,10,0)</f>
        <v>4.6400000000000006</v>
      </c>
      <c r="K31" s="25">
        <f>VLOOKUP("Основной персонал, всего",A:U,11,0) + VLOOKUP("Вспомогательный персонал, всего",A:U,11,0) + VLOOKUP("Административно-управленческий персонал, всего",A:U,11,0)</f>
        <v>1.56</v>
      </c>
      <c r="L31" s="25">
        <f>VLOOKUP("Основной персонал, всего",A:U,12,0) + VLOOKUP("Вспомогательный персонал, всего",A:U,12,0) + VLOOKUP("Административно-управленческий персонал, всего",A:U,12,0)</f>
        <v>0</v>
      </c>
      <c r="M31" s="25">
        <f>VLOOKUP("Основной персонал, всего",A:U,13,0) + VLOOKUP("Вспомогательный персонал, всего",A:U,13,0) + VLOOKUP("Административно-управленческий персонал, всего",A:U,13,0)</f>
        <v>0</v>
      </c>
      <c r="N31" s="25">
        <f>VLOOKUP("Основной персонал, всего",A:U,14,0) + VLOOKUP("Вспомогательный персонал, всего",A:U,14,0) + VLOOKUP("Административно-управленческий персонал, всего",A:U,14,0)</f>
        <v>78.25</v>
      </c>
      <c r="O31" s="25">
        <f>VLOOKUP("Основной персонал, всего",A:U,15,0) + VLOOKUP("Вспомогательный персонал, всего",A:U,15,0) + VLOOKUP("Административно-управленческий персонал, всего",A:U,15,0)</f>
        <v>77.25</v>
      </c>
      <c r="P31" s="25">
        <f>VLOOKUP("Основной персонал, всего",A:U,16,0) + VLOOKUP("Вспомогательный персонал, всего",A:U,16,0) + VLOOKUP("Административно-управленческий персонал, всего",A:U,16,0)</f>
        <v>75.75</v>
      </c>
      <c r="Q31" s="25">
        <f>VLOOKUP("Основной персонал, всего",A:U,17,0) + VLOOKUP("Вспомогательный персонал, всего",A:U,17,0) + VLOOKUP("Административно-управленческий персонал, всего",A:U,17,0)</f>
        <v>2.5</v>
      </c>
    </row>
  </sheetData>
  <mergeCells count="39">
    <mergeCell ref="A1:Q1"/>
    <mergeCell ref="A2:Q2"/>
    <mergeCell ref="A6:B6"/>
    <mergeCell ref="C6:N6"/>
    <mergeCell ref="A7:B7"/>
    <mergeCell ref="C7:N7"/>
    <mergeCell ref="A8:B8"/>
    <mergeCell ref="C8:N8"/>
    <mergeCell ref="A9:B9"/>
    <mergeCell ref="C9:N9"/>
    <mergeCell ref="A11:Q11"/>
    <mergeCell ref="A12:A16"/>
    <mergeCell ref="B12:B16"/>
    <mergeCell ref="C12:F12"/>
    <mergeCell ref="G12:K12"/>
    <mergeCell ref="L12:M12"/>
    <mergeCell ref="N12:Q12"/>
    <mergeCell ref="C13:D13"/>
    <mergeCell ref="E13:F13"/>
    <mergeCell ref="G13:G16"/>
    <mergeCell ref="H13:K13"/>
    <mergeCell ref="L13:M13"/>
    <mergeCell ref="N13:O13"/>
    <mergeCell ref="P13:Q13"/>
    <mergeCell ref="C14:C16"/>
    <mergeCell ref="E14:E16"/>
    <mergeCell ref="F14:F16"/>
    <mergeCell ref="H14:I14"/>
    <mergeCell ref="J14:J16"/>
    <mergeCell ref="K14:K16"/>
    <mergeCell ref="L14:L16"/>
    <mergeCell ref="M14:M16"/>
    <mergeCell ref="N14:N16"/>
    <mergeCell ref="O14:O16"/>
    <mergeCell ref="P14:P16"/>
    <mergeCell ref="Q14:Q16"/>
    <mergeCell ref="D15:D16"/>
    <mergeCell ref="H15:H16"/>
    <mergeCell ref="I15:I16"/>
  </mergeCells>
  <phoneticPr fontId="0" type="noConversion"/>
  <pageMargins left="0.4" right="0.4" top="0.4" bottom="0.4" header="0.1" footer="0.1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Тит 01.01.25</vt:lpstr>
      <vt:lpstr>1 (раздел 1)</vt:lpstr>
      <vt:lpstr>1 (раздел 2)</vt:lpstr>
      <vt:lpstr>1.1</vt:lpstr>
      <vt:lpstr>1.2</vt:lpstr>
      <vt:lpstr>1.2.1</vt:lpstr>
      <vt:lpstr>1.3</vt:lpstr>
      <vt:lpstr>1.4</vt:lpstr>
      <vt:lpstr>1.5 (1)</vt:lpstr>
      <vt:lpstr>1.5 (2)</vt:lpstr>
      <vt:lpstr>1.5 (3)</vt:lpstr>
      <vt:lpstr>1.5 (4)</vt:lpstr>
      <vt:lpstr>1.6</vt:lpstr>
      <vt:lpstr>2.1</vt:lpstr>
      <vt:lpstr>2.2</vt:lpstr>
      <vt:lpstr>2.3 (1)</vt:lpstr>
      <vt:lpstr>2.3 (2)</vt:lpstr>
      <vt:lpstr>2.4</vt:lpstr>
      <vt:lpstr>2.5 (1)</vt:lpstr>
      <vt:lpstr>2.5 (2)</vt:lpstr>
      <vt:lpstr>2.5 (3)</vt:lpstr>
      <vt:lpstr>2.5 (4)</vt:lpstr>
      <vt:lpstr>2.6 (1)</vt:lpstr>
      <vt:lpstr>2.6 (2)</vt:lpstr>
      <vt:lpstr>2.6 (3)</vt:lpstr>
      <vt:lpstr>2.6 (4)</vt:lpstr>
      <vt:lpstr>2.7</vt:lpstr>
      <vt:lpstr>3.1</vt:lpstr>
      <vt:lpstr>3.2</vt:lpstr>
      <vt:lpstr>'1.1'!Область_печати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2025-03-25T07:28:23Z</cp:lastPrinted>
  <dcterms:created xsi:type="dcterms:W3CDTF">2025-02-21T09:36:16Z</dcterms:created>
  <dcterms:modified xsi:type="dcterms:W3CDTF">2025-03-25T09:38:41Z</dcterms:modified>
</cp:coreProperties>
</file>